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" yWindow="12" windowWidth="9720" windowHeight="7320" activeTab="0"/>
  </bookViews>
  <sheets>
    <sheet name="NIOSH3" sheetId="1" r:id="rId1"/>
  </sheets>
  <definedNames>
    <definedName name="AM">'NIOSH3'!$S$12:$S$21</definedName>
    <definedName name="CM">'NIOSH3'!$O$12:$O$21</definedName>
    <definedName name="CMTABLE">'NIOSH3'!$B$65:$D$67</definedName>
    <definedName name="COUPLING">'NIOSH3'!$N$12:$N$21</definedName>
    <definedName name="CRITERIA">'NIOSH3'!$D$12:$N$21</definedName>
    <definedName name="DF">'NIOSH3'!$W$12:$W$21</definedName>
    <definedName name="DM">'NIOSH3'!$R$12:$R$21</definedName>
    <definedName name="EXTRACT">'NIOSH3'!$G$2</definedName>
    <definedName name="FF">'NIOSH3'!$Y$12:$Y$21</definedName>
    <definedName name="FM">'NIOSH3'!$T$12:$T$21</definedName>
    <definedName name="FMax">'NIOSH3'!$X$12:$X$21</definedName>
    <definedName name="FMTABLE">'NIOSH3'!$B$45:$H$62</definedName>
    <definedName name="FREQUENCY">'NIOSH3'!$M$12:$M$21</definedName>
    <definedName name="HF">'NIOSH3'!$U$12:$U$21</definedName>
    <definedName name="HM">'NIOSH3'!$P$12:$P$21</definedName>
    <definedName name="HORIZONTAL_DEST">'NIOSH3'!$H$12:$H$21</definedName>
    <definedName name="HORIZONTAL_ORIG">'NIOSH3'!$F$12:$F$21</definedName>
    <definedName name="PERIOD">'NIOSH3'!$L$12:$L$21</definedName>
    <definedName name="_xlnm.Print_Area" localSheetId="0">'NIOSH3'!$A$1:$N$40</definedName>
    <definedName name="REC.WT.LIMIT">'NIOSH3'!$B$12:$B$21</definedName>
    <definedName name="VERTICAL_DEST">'NIOSH3'!$I$12:$I$21</definedName>
    <definedName name="VERTICAL_ORIGIN">'NIOSH3'!$G$12:$G$21</definedName>
    <definedName name="VF">'NIOSH3'!$V$12:$V$21</definedName>
    <definedName name="VM">'NIOSH3'!$Q$12:$Q$21</definedName>
  </definedNames>
  <calcPr fullCalcOnLoad="1"/>
</workbook>
</file>

<file path=xl/sharedStrings.xml><?xml version="1.0" encoding="utf-8"?>
<sst xmlns="http://schemas.openxmlformats.org/spreadsheetml/2006/main" count="133" uniqueCount="63">
  <si>
    <t xml:space="preserve"> </t>
  </si>
  <si>
    <t xml:space="preserve">  JOB DESCRIPTION</t>
  </si>
  <si>
    <t>DEPARTMENT</t>
  </si>
  <si>
    <t>JOB TITLE</t>
  </si>
  <si>
    <t>ANALYST</t>
  </si>
  <si>
    <t>DATE</t>
  </si>
  <si>
    <t xml:space="preserve">     Object Wt.</t>
  </si>
  <si>
    <t xml:space="preserve"> Hand Location (in.)</t>
  </si>
  <si>
    <t>Asymmetry</t>
  </si>
  <si>
    <t>Period</t>
  </si>
  <si>
    <t>Freq</t>
  </si>
  <si>
    <t>Handle</t>
  </si>
  <si>
    <t>Task</t>
  </si>
  <si>
    <t xml:space="preserve">           (lbs)</t>
  </si>
  <si>
    <t xml:space="preserve">    Origin</t>
  </si>
  <si>
    <t xml:space="preserve">  Destin</t>
  </si>
  <si>
    <t xml:space="preserve">  (degrees)</t>
  </si>
  <si>
    <t>(hours)</t>
  </si>
  <si>
    <t>(l/min)</t>
  </si>
  <si>
    <t>FREQ CUM</t>
  </si>
  <si>
    <t>FM CUM</t>
  </si>
  <si>
    <t>DELTA FM</t>
  </si>
  <si>
    <t>FILI</t>
  </si>
  <si>
    <t>FILI*DELTA FM</t>
  </si>
  <si>
    <t>No.</t>
  </si>
  <si>
    <t xml:space="preserve"> RWL</t>
  </si>
  <si>
    <t>LI</t>
  </si>
  <si>
    <t>L (avg)</t>
  </si>
  <si>
    <t>L (max)</t>
  </si>
  <si>
    <t>H</t>
  </si>
  <si>
    <t>V</t>
  </si>
  <si>
    <t>Orig</t>
  </si>
  <si>
    <t>Dest</t>
  </si>
  <si>
    <t>P</t>
  </si>
  <si>
    <t>F</t>
  </si>
  <si>
    <t>C</t>
  </si>
  <si>
    <t>CM</t>
  </si>
  <si>
    <t>HM</t>
  </si>
  <si>
    <t>VM</t>
  </si>
  <si>
    <t>DM</t>
  </si>
  <si>
    <t>AM</t>
  </si>
  <si>
    <t>FM</t>
  </si>
  <si>
    <t>FAIR</t>
  </si>
  <si>
    <t>RWL</t>
  </si>
  <si>
    <t>Origin</t>
  </si>
  <si>
    <t>COMPOSITE LIFTING INDEX =</t>
  </si>
  <si>
    <t>PERIOD</t>
  </si>
  <si>
    <t>…8 HRS</t>
  </si>
  <si>
    <t>…2 HRS</t>
  </si>
  <si>
    <t>…1 HR</t>
  </si>
  <si>
    <t>VERTICAL</t>
  </si>
  <si>
    <t>V&lt;30</t>
  </si>
  <si>
    <t>V†30</t>
  </si>
  <si>
    <t>FREQUENCY</t>
  </si>
  <si>
    <t>COUPLING</t>
  </si>
  <si>
    <t>GOOD</t>
  </si>
  <si>
    <t>POOR</t>
  </si>
  <si>
    <t>Sort by rows A12:A21 in decreasing order</t>
  </si>
  <si>
    <t>based on Column C</t>
  </si>
  <si>
    <r>
      <t>NOTE</t>
    </r>
    <r>
      <rPr>
        <b/>
        <sz val="10"/>
        <rFont val="Helv"/>
        <family val="0"/>
      </rPr>
      <t xml:space="preserve">: For correct Composite Lifting Index, </t>
    </r>
  </si>
  <si>
    <t>TASK</t>
  </si>
  <si>
    <t>NIOSH LIFTING GUIDELINE:  JOB ANALYSIS WORKSHEET</t>
  </si>
  <si>
    <t>\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</si>
</sst>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0"/>
      <color indexed="10"/>
      <name val="Helv"/>
      <family val="0"/>
    </font>
    <font>
      <b/>
      <sz val="12"/>
      <color indexed="12"/>
      <name val="Helv"/>
      <family val="0"/>
    </font>
    <font>
      <b/>
      <sz val="10"/>
      <color indexed="12"/>
      <name val="Helv"/>
      <family val="0"/>
    </font>
    <font>
      <sz val="10"/>
      <color indexed="12"/>
      <name val="Helv"/>
      <family val="0"/>
    </font>
    <font>
      <sz val="10"/>
      <color indexed="8"/>
      <name val="Helv"/>
      <family val="0"/>
    </font>
    <font>
      <b/>
      <i/>
      <sz val="10"/>
      <color indexed="10"/>
      <name val="Helv"/>
      <family val="0"/>
    </font>
    <font>
      <b/>
      <sz val="10"/>
      <color indexed="12"/>
      <name val="Geneva"/>
      <family val="0"/>
    </font>
    <font>
      <i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13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2" fontId="4" fillId="0" borderId="1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2" fontId="7" fillId="0" borderId="13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center"/>
      <protection/>
    </xf>
    <xf numFmtId="164" fontId="10" fillId="0" borderId="16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64" fontId="7" fillId="0" borderId="17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9" fillId="0" borderId="18" xfId="0" applyFont="1" applyBorder="1" applyAlignment="1" applyProtection="1">
      <alignment horizontal="center"/>
      <protection/>
    </xf>
    <xf numFmtId="164" fontId="10" fillId="0" borderId="14" xfId="0" applyNumberFormat="1" applyFont="1" applyBorder="1" applyAlignment="1" applyProtection="1">
      <alignment horizontal="center"/>
      <protection/>
    </xf>
    <xf numFmtId="164" fontId="10" fillId="0" borderId="19" xfId="0" applyNumberFormat="1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164" fontId="10" fillId="0" borderId="12" xfId="0" applyNumberFormat="1" applyFont="1" applyBorder="1" applyAlignment="1" applyProtection="1">
      <alignment horizontal="left"/>
      <protection/>
    </xf>
    <xf numFmtId="164" fontId="10" fillId="0" borderId="21" xfId="0" applyNumberFormat="1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64" fontId="10" fillId="0" borderId="14" xfId="0" applyNumberFormat="1" applyFont="1" applyBorder="1" applyAlignment="1" applyProtection="1">
      <alignment horizontal="left"/>
      <protection/>
    </xf>
    <xf numFmtId="164" fontId="10" fillId="0" borderId="28" xfId="0" applyNumberFormat="1" applyFont="1" applyBorder="1" applyAlignment="1" applyProtection="1">
      <alignment horizontal="left"/>
      <protection/>
    </xf>
    <xf numFmtId="0" fontId="10" fillId="0" borderId="28" xfId="0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left"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2" fontId="7" fillId="0" borderId="41" xfId="0" applyNumberFormat="1" applyFont="1" applyBorder="1" applyAlignment="1" applyProtection="1">
      <alignment horizontal="center"/>
      <protection/>
    </xf>
    <xf numFmtId="2" fontId="7" fillId="0" borderId="41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2" fontId="4" fillId="0" borderId="43" xfId="0" applyNumberFormat="1" applyFont="1" applyFill="1" applyBorder="1" applyAlignment="1" applyProtection="1">
      <alignment horizontal="center"/>
      <protection/>
    </xf>
    <xf numFmtId="2" fontId="4" fillId="0" borderId="44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2" fontId="4" fillId="0" borderId="17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164" fontId="4" fillId="0" borderId="45" xfId="0" applyNumberFormat="1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33" borderId="48" xfId="0" applyFont="1" applyFill="1" applyBorder="1" applyAlignment="1" applyProtection="1">
      <alignment horizontal="center"/>
      <protection locked="0"/>
    </xf>
    <xf numFmtId="164" fontId="7" fillId="0" borderId="49" xfId="0" applyNumberFormat="1" applyFont="1" applyBorder="1" applyAlignment="1" applyProtection="1">
      <alignment horizontal="center"/>
      <protection locked="0"/>
    </xf>
    <xf numFmtId="164" fontId="7" fillId="0" borderId="50" xfId="0" applyNumberFormat="1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164" fontId="4" fillId="0" borderId="51" xfId="0" applyNumberFormat="1" applyFont="1" applyFill="1" applyBorder="1" applyAlignment="1" applyProtection="1">
      <alignment horizontal="center"/>
      <protection/>
    </xf>
    <xf numFmtId="164" fontId="4" fillId="0" borderId="52" xfId="0" applyNumberFormat="1" applyFont="1" applyFill="1" applyBorder="1" applyAlignment="1" applyProtection="1">
      <alignment horizontal="center"/>
      <protection/>
    </xf>
    <xf numFmtId="164" fontId="4" fillId="0" borderId="53" xfId="0" applyNumberFormat="1" applyFont="1" applyFill="1" applyBorder="1" applyAlignment="1" applyProtection="1">
      <alignment horizontal="center"/>
      <protection/>
    </xf>
    <xf numFmtId="2" fontId="4" fillId="0" borderId="53" xfId="0" applyNumberFormat="1" applyFont="1" applyFill="1" applyBorder="1" applyAlignment="1" applyProtection="1">
      <alignment horizontal="center"/>
      <protection/>
    </xf>
    <xf numFmtId="164" fontId="4" fillId="0" borderId="54" xfId="0" applyNumberFormat="1" applyFont="1" applyFill="1" applyBorder="1" applyAlignment="1" applyProtection="1">
      <alignment horizontal="center"/>
      <protection/>
    </xf>
    <xf numFmtId="2" fontId="4" fillId="0" borderId="54" xfId="0" applyNumberFormat="1" applyFont="1" applyFill="1" applyBorder="1" applyAlignment="1" applyProtection="1">
      <alignment horizontal="center"/>
      <protection/>
    </xf>
    <xf numFmtId="0" fontId="11" fillId="0" borderId="55" xfId="0" applyFont="1" applyBorder="1" applyAlignment="1" applyProtection="1">
      <alignment horizontal="center"/>
      <protection/>
    </xf>
    <xf numFmtId="164" fontId="4" fillId="0" borderId="55" xfId="0" applyNumberFormat="1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center"/>
      <protection/>
    </xf>
    <xf numFmtId="2" fontId="4" fillId="0" borderId="55" xfId="0" applyNumberFormat="1" applyFont="1" applyBorder="1" applyAlignment="1" applyProtection="1">
      <alignment/>
      <protection/>
    </xf>
    <xf numFmtId="0" fontId="0" fillId="0" borderId="55" xfId="0" applyBorder="1" applyAlignment="1">
      <alignment/>
    </xf>
    <xf numFmtId="0" fontId="4" fillId="0" borderId="55" xfId="0" applyFont="1" applyBorder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4" fillId="0" borderId="55" xfId="0" applyFont="1" applyBorder="1" applyAlignment="1">
      <alignment horizontal="center"/>
    </xf>
    <xf numFmtId="2" fontId="4" fillId="0" borderId="55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164" fontId="4" fillId="0" borderId="28" xfId="0" applyNumberFormat="1" applyFont="1" applyFill="1" applyBorder="1" applyAlignment="1" applyProtection="1">
      <alignment horizontal="center"/>
      <protection/>
    </xf>
    <xf numFmtId="2" fontId="4" fillId="0" borderId="28" xfId="0" applyNumberFormat="1" applyFont="1" applyFill="1" applyBorder="1" applyAlignment="1" applyProtection="1">
      <alignment horizontal="center"/>
      <protection/>
    </xf>
    <xf numFmtId="1" fontId="4" fillId="0" borderId="28" xfId="0" applyNumberFormat="1" applyFont="1" applyFill="1" applyBorder="1" applyAlignment="1" applyProtection="1">
      <alignment horizontal="center"/>
      <protection/>
    </xf>
    <xf numFmtId="0" fontId="4" fillId="33" borderId="52" xfId="0" applyNumberFormat="1" applyFont="1" applyFill="1" applyBorder="1" applyAlignment="1" applyProtection="1">
      <alignment horizontal="center"/>
      <protection locked="0"/>
    </xf>
    <xf numFmtId="0" fontId="4" fillId="33" borderId="56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57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12" fillId="0" borderId="6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0" fontId="10" fillId="0" borderId="60" xfId="0" applyFont="1" applyBorder="1" applyAlignment="1" applyProtection="1">
      <alignment horizontal="center"/>
      <protection/>
    </xf>
    <xf numFmtId="0" fontId="10" fillId="0" borderId="61" xfId="0" applyFont="1" applyFill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horizontal="center"/>
      <protection/>
    </xf>
    <xf numFmtId="0" fontId="0" fillId="0" borderId="62" xfId="0" applyBorder="1" applyAlignment="1">
      <alignment/>
    </xf>
    <xf numFmtId="2" fontId="7" fillId="0" borderId="63" xfId="0" applyNumberFormat="1" applyFont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/>
    </xf>
    <xf numFmtId="2" fontId="7" fillId="0" borderId="63" xfId="0" applyNumberFormat="1" applyFont="1" applyFill="1" applyBorder="1" applyAlignment="1" applyProtection="1">
      <alignment horizontal="center"/>
      <protection/>
    </xf>
    <xf numFmtId="2" fontId="7" fillId="0" borderId="65" xfId="0" applyNumberFormat="1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center"/>
      <protection/>
    </xf>
    <xf numFmtId="0" fontId="4" fillId="0" borderId="62" xfId="0" applyFont="1" applyBorder="1" applyAlignment="1">
      <alignment horizontal="center"/>
    </xf>
    <xf numFmtId="2" fontId="4" fillId="0" borderId="62" xfId="0" applyNumberFormat="1" applyFont="1" applyBorder="1" applyAlignment="1">
      <alignment horizontal="center"/>
    </xf>
    <xf numFmtId="0" fontId="14" fillId="0" borderId="62" xfId="0" applyFont="1" applyBorder="1" applyAlignment="1">
      <alignment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66" xfId="0" applyBorder="1" applyAlignment="1">
      <alignment/>
    </xf>
    <xf numFmtId="0" fontId="0" fillId="0" borderId="36" xfId="0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zoomScalePageLayoutView="0" workbookViewId="0" topLeftCell="A1">
      <selection activeCell="G17" sqref="G17"/>
    </sheetView>
  </sheetViews>
  <sheetFormatPr defaultColWidth="7.625" defaultRowHeight="12.75"/>
  <cols>
    <col min="1" max="1" width="6.625" style="76" customWidth="1"/>
    <col min="2" max="2" width="6.625" style="77" customWidth="1"/>
    <col min="3" max="7" width="6.625" style="11" customWidth="1"/>
    <col min="8" max="8" width="6.625" style="78" customWidth="1"/>
    <col min="9" max="11" width="6.625" style="79" customWidth="1"/>
    <col min="12" max="12" width="6.625" style="5" customWidth="1"/>
    <col min="13" max="13" width="6.625" style="79" customWidth="1"/>
    <col min="14" max="14" width="8.875" style="79" customWidth="1"/>
    <col min="15" max="15" width="6.625" style="79" customWidth="1"/>
    <col min="16" max="16" width="6.625" style="80" customWidth="1"/>
    <col min="17" max="17" width="6.625" style="73" customWidth="1"/>
    <col min="18" max="18" width="6.625" style="9" customWidth="1"/>
    <col min="19" max="19" width="6.625" style="74" customWidth="1"/>
    <col min="20" max="20" width="6.625" style="73" customWidth="1"/>
    <col min="21" max="21" width="7.625" style="73" customWidth="1"/>
    <col min="22" max="22" width="7.625" style="75" customWidth="1"/>
    <col min="23" max="23" width="7.625" style="73" customWidth="1"/>
    <col min="24" max="24" width="7.625" style="9" customWidth="1"/>
    <col min="25" max="25" width="7.625" style="74" customWidth="1"/>
    <col min="26" max="26" width="7.625" style="73" customWidth="1"/>
    <col min="27" max="27" width="7.625" style="75" customWidth="1"/>
    <col min="28" max="29" width="7.625" style="5" customWidth="1"/>
    <col min="30" max="32" width="7.625" style="68" customWidth="1"/>
    <col min="33" max="16384" width="7.625" style="5" customWidth="1"/>
  </cols>
  <sheetData>
    <row r="1" spans="1:32" ht="12.75">
      <c r="A1"/>
      <c r="B1"/>
      <c r="C1"/>
      <c r="D1" s="131" t="s">
        <v>61</v>
      </c>
      <c r="F1" s="132"/>
      <c r="H1" s="133"/>
      <c r="I1" s="133"/>
      <c r="J1" s="12"/>
      <c r="K1" s="12"/>
      <c r="M1" s="12"/>
      <c r="N1" s="12"/>
      <c r="O1" s="12"/>
      <c r="P1" s="12"/>
      <c r="Q1" s="39"/>
      <c r="R1" s="6"/>
      <c r="S1"/>
      <c r="T1" t="s">
        <v>0</v>
      </c>
      <c r="U1"/>
      <c r="V1" s="39"/>
      <c r="W1" s="6"/>
      <c r="X1" s="6"/>
      <c r="Y1" s="39"/>
      <c r="Z1" s="39"/>
      <c r="AA1" s="5"/>
      <c r="AC1" s="68"/>
      <c r="AF1" s="5"/>
    </row>
    <row r="2" spans="1:27" ht="12.75">
      <c r="A2" s="12"/>
      <c r="B2" s="10"/>
      <c r="C2" s="10"/>
      <c r="D2"/>
      <c r="E2" s="10"/>
      <c r="F2" s="10"/>
      <c r="G2" s="10"/>
      <c r="H2" s="12"/>
      <c r="I2" s="12"/>
      <c r="J2" s="12"/>
      <c r="K2" s="12"/>
      <c r="M2" s="12"/>
      <c r="N2" s="12"/>
      <c r="O2" s="12"/>
      <c r="P2" s="12"/>
      <c r="Q2" s="39"/>
      <c r="R2" s="6"/>
      <c r="S2" t="s">
        <v>0</v>
      </c>
      <c r="T2" t="s">
        <v>0</v>
      </c>
      <c r="U2" s="39"/>
      <c r="V2" s="39"/>
      <c r="W2" s="39"/>
      <c r="X2" s="6"/>
      <c r="Y2" s="6"/>
      <c r="Z2" s="39"/>
      <c r="AA2" s="39"/>
    </row>
    <row r="3" spans="1:27" ht="12.75">
      <c r="A3" s="12"/>
      <c r="B3" s="10"/>
      <c r="C3" s="10"/>
      <c r="D3" s="10"/>
      <c r="E3" s="10"/>
      <c r="F3" s="10"/>
      <c r="G3" s="10"/>
      <c r="H3" s="12"/>
      <c r="I3" s="24" t="s">
        <v>1</v>
      </c>
      <c r="K3" s="12"/>
      <c r="L3" s="12"/>
      <c r="M3" s="12"/>
      <c r="N3"/>
      <c r="O3"/>
      <c r="P3"/>
      <c r="Q3" s="39"/>
      <c r="R3" s="6"/>
      <c r="S3" s="6"/>
      <c r="T3" s="39"/>
      <c r="U3" s="39"/>
      <c r="V3" s="39"/>
      <c r="W3" s="39"/>
      <c r="X3" s="6"/>
      <c r="Y3" s="6"/>
      <c r="Z3" s="39"/>
      <c r="AA3" s="39"/>
    </row>
    <row r="4" spans="1:32" s="66" customFormat="1" ht="12.75">
      <c r="A4" s="21" t="s">
        <v>2</v>
      </c>
      <c r="B4" s="22"/>
      <c r="C4" s="23"/>
      <c r="D4" s="82"/>
      <c r="E4" s="82"/>
      <c r="F4" s="82"/>
      <c r="G4" s="83"/>
      <c r="I4" s="111"/>
      <c r="J4" s="84"/>
      <c r="K4" s="84"/>
      <c r="L4" s="84"/>
      <c r="M4" s="84"/>
      <c r="N4" s="112"/>
      <c r="O4"/>
      <c r="P4"/>
      <c r="Q4" s="71"/>
      <c r="R4" s="14"/>
      <c r="S4" s="14"/>
      <c r="T4" s="71" t="s">
        <v>0</v>
      </c>
      <c r="U4" s="71"/>
      <c r="V4" s="71"/>
      <c r="W4" s="71"/>
      <c r="X4" s="14"/>
      <c r="Y4" s="14"/>
      <c r="Z4" s="71"/>
      <c r="AA4" s="71"/>
      <c r="AD4" s="97"/>
      <c r="AE4" s="97"/>
      <c r="AF4" s="97"/>
    </row>
    <row r="5" spans="1:32" s="66" customFormat="1" ht="12.75">
      <c r="A5" s="24" t="s">
        <v>3</v>
      </c>
      <c r="B5" s="22"/>
      <c r="C5" s="23"/>
      <c r="D5" s="82"/>
      <c r="E5" s="82"/>
      <c r="F5" s="82"/>
      <c r="G5" s="83"/>
      <c r="I5" s="111"/>
      <c r="J5" s="84"/>
      <c r="K5" s="84"/>
      <c r="L5" s="84"/>
      <c r="M5" s="84"/>
      <c r="N5" s="112"/>
      <c r="O5"/>
      <c r="P5"/>
      <c r="Q5" s="71"/>
      <c r="R5" s="14"/>
      <c r="S5" s="14"/>
      <c r="T5" s="71"/>
      <c r="U5" s="71"/>
      <c r="V5" s="71"/>
      <c r="W5" s="71"/>
      <c r="X5" s="14"/>
      <c r="Y5" s="14"/>
      <c r="Z5" s="71"/>
      <c r="AA5" s="71"/>
      <c r="AD5" s="97"/>
      <c r="AE5" s="97" t="s">
        <v>0</v>
      </c>
      <c r="AF5" s="97"/>
    </row>
    <row r="6" spans="1:32" s="66" customFormat="1" ht="12.75">
      <c r="A6" s="24" t="s">
        <v>4</v>
      </c>
      <c r="B6" s="22"/>
      <c r="C6" s="23"/>
      <c r="D6" s="82"/>
      <c r="E6" s="82"/>
      <c r="F6" s="82"/>
      <c r="G6" s="83"/>
      <c r="I6" s="111"/>
      <c r="J6" s="84"/>
      <c r="K6" s="84"/>
      <c r="L6" s="84"/>
      <c r="M6" s="84"/>
      <c r="N6" s="112"/>
      <c r="O6"/>
      <c r="P6"/>
      <c r="Q6" s="71"/>
      <c r="R6" s="14"/>
      <c r="S6" s="14"/>
      <c r="T6" s="71"/>
      <c r="U6" s="71"/>
      <c r="V6" s="71"/>
      <c r="W6" s="71"/>
      <c r="X6" s="14"/>
      <c r="Y6" s="14"/>
      <c r="Z6" s="71"/>
      <c r="AA6" s="71"/>
      <c r="AD6" s="97"/>
      <c r="AE6" s="97"/>
      <c r="AF6" s="97"/>
    </row>
    <row r="7" spans="1:32" s="66" customFormat="1" ht="12.75">
      <c r="A7" s="24" t="s">
        <v>5</v>
      </c>
      <c r="B7" s="22"/>
      <c r="C7" s="23"/>
      <c r="D7" s="113"/>
      <c r="E7" s="82"/>
      <c r="F7" s="82"/>
      <c r="G7" s="83"/>
      <c r="I7" s="111"/>
      <c r="J7" s="84"/>
      <c r="K7" s="84"/>
      <c r="L7" s="84"/>
      <c r="M7" s="84"/>
      <c r="N7" s="112"/>
      <c r="O7"/>
      <c r="P7"/>
      <c r="Q7" s="71"/>
      <c r="R7" s="14"/>
      <c r="S7" s="14"/>
      <c r="T7" s="71"/>
      <c r="U7" s="71"/>
      <c r="V7" s="71"/>
      <c r="W7" s="71"/>
      <c r="X7" s="14"/>
      <c r="Y7" s="14"/>
      <c r="Z7" s="71"/>
      <c r="AA7" s="71"/>
      <c r="AD7" s="97"/>
      <c r="AE7" s="97"/>
      <c r="AF7" s="97"/>
    </row>
    <row r="8" spans="1:27" ht="13.5" thickBot="1">
      <c r="A8" s="25"/>
      <c r="B8" s="26"/>
      <c r="C8" s="10"/>
      <c r="D8" s="10"/>
      <c r="E8" s="10"/>
      <c r="F8" s="10"/>
      <c r="G8" s="10"/>
      <c r="H8" s="12"/>
      <c r="I8" s="12"/>
      <c r="J8" s="12"/>
      <c r="K8" s="12"/>
      <c r="M8" s="12"/>
      <c r="N8" s="12"/>
      <c r="O8"/>
      <c r="P8"/>
      <c r="Q8" s="39"/>
      <c r="R8" s="6"/>
      <c r="S8" s="6"/>
      <c r="T8" s="39"/>
      <c r="U8" s="39"/>
      <c r="V8" s="39"/>
      <c r="W8" s="39" t="s">
        <v>0</v>
      </c>
      <c r="X8" s="6"/>
      <c r="Y8" s="6"/>
      <c r="Z8" s="39"/>
      <c r="AA8" s="39"/>
    </row>
    <row r="9" spans="1:32" ht="15.75" thickTop="1">
      <c r="A9" s="27" t="s">
        <v>0</v>
      </c>
      <c r="B9" s="28"/>
      <c r="C9" s="29"/>
      <c r="D9" s="40" t="s">
        <v>6</v>
      </c>
      <c r="E9" s="41"/>
      <c r="F9" s="15" t="s">
        <v>7</v>
      </c>
      <c r="G9" s="42"/>
      <c r="H9" s="42"/>
      <c r="I9" s="43"/>
      <c r="J9" s="15" t="s">
        <v>8</v>
      </c>
      <c r="K9" s="44"/>
      <c r="L9" s="45" t="s">
        <v>9</v>
      </c>
      <c r="M9" s="46" t="s">
        <v>10</v>
      </c>
      <c r="N9" s="47" t="s">
        <v>11</v>
      </c>
      <c r="O9" s="39"/>
      <c r="P9" s="6"/>
      <c r="Q9" s="6" t="s">
        <v>0</v>
      </c>
      <c r="R9" s="39" t="s">
        <v>0</v>
      </c>
      <c r="S9" s="39"/>
      <c r="T9" s="39"/>
      <c r="U9" s="39"/>
      <c r="V9" s="6"/>
      <c r="W9" s="6"/>
      <c r="X9" s="39"/>
      <c r="Y9" s="39"/>
      <c r="Z9" s="5"/>
      <c r="AA9" s="5"/>
      <c r="AB9" s="68"/>
      <c r="AC9" s="68"/>
      <c r="AE9" s="5"/>
      <c r="AF9" s="5"/>
    </row>
    <row r="10" spans="1:34" ht="15.75" thickBot="1">
      <c r="A10" s="30" t="s">
        <v>12</v>
      </c>
      <c r="B10" s="31" t="s">
        <v>0</v>
      </c>
      <c r="C10" s="32"/>
      <c r="D10" s="31" t="s">
        <v>13</v>
      </c>
      <c r="E10" s="16"/>
      <c r="F10" s="48" t="s">
        <v>14</v>
      </c>
      <c r="G10" s="49"/>
      <c r="H10" s="50" t="s">
        <v>15</v>
      </c>
      <c r="I10" s="51"/>
      <c r="J10" s="17" t="s">
        <v>16</v>
      </c>
      <c r="K10" s="52"/>
      <c r="L10" s="53" t="s">
        <v>17</v>
      </c>
      <c r="M10" s="54" t="s">
        <v>18</v>
      </c>
      <c r="N10" s="55"/>
      <c r="O10" s="56" t="s">
        <v>0</v>
      </c>
      <c r="P10" s="3"/>
      <c r="Q10" s="3"/>
      <c r="R10" s="56" t="s">
        <v>0</v>
      </c>
      <c r="S10" s="57"/>
      <c r="T10" s="57"/>
      <c r="U10" s="56" t="s">
        <v>0</v>
      </c>
      <c r="V10" s="3"/>
      <c r="W10" s="6"/>
      <c r="X10" s="39"/>
      <c r="Y10" s="39"/>
      <c r="Z10" s="66" t="s">
        <v>19</v>
      </c>
      <c r="AA10" s="4" t="s">
        <v>20</v>
      </c>
      <c r="AB10" s="99" t="s">
        <v>21</v>
      </c>
      <c r="AC10" s="99" t="s">
        <v>22</v>
      </c>
      <c r="AD10" s="100" t="s">
        <v>23</v>
      </c>
      <c r="AE10"/>
      <c r="AF10"/>
      <c r="AG10"/>
      <c r="AH10"/>
    </row>
    <row r="11" spans="1:34" s="66" customFormat="1" ht="13.5" thickBot="1">
      <c r="A11" s="33" t="s">
        <v>24</v>
      </c>
      <c r="B11" s="34" t="s">
        <v>25</v>
      </c>
      <c r="C11" s="35" t="s">
        <v>26</v>
      </c>
      <c r="D11" s="58" t="s">
        <v>27</v>
      </c>
      <c r="E11" s="58" t="s">
        <v>28</v>
      </c>
      <c r="F11" s="59" t="s">
        <v>29</v>
      </c>
      <c r="G11" s="60" t="s">
        <v>30</v>
      </c>
      <c r="H11" s="60" t="s">
        <v>29</v>
      </c>
      <c r="I11" s="61" t="s">
        <v>30</v>
      </c>
      <c r="J11" s="18" t="s">
        <v>31</v>
      </c>
      <c r="K11" s="60" t="s">
        <v>32</v>
      </c>
      <c r="L11" s="60" t="s">
        <v>33</v>
      </c>
      <c r="M11" s="60" t="s">
        <v>34</v>
      </c>
      <c r="N11" s="62" t="s">
        <v>35</v>
      </c>
      <c r="O11" s="63" t="s">
        <v>36</v>
      </c>
      <c r="P11" s="13" t="s">
        <v>37</v>
      </c>
      <c r="Q11" s="64" t="s">
        <v>38</v>
      </c>
      <c r="R11" s="63" t="s">
        <v>39</v>
      </c>
      <c r="S11" s="63" t="s">
        <v>40</v>
      </c>
      <c r="T11" s="65" t="s">
        <v>41</v>
      </c>
      <c r="U11"/>
      <c r="V11"/>
      <c r="W11"/>
      <c r="X11"/>
      <c r="Y11"/>
      <c r="Z11" s="1">
        <v>0</v>
      </c>
      <c r="AA11" s="4">
        <v>1000000000000</v>
      </c>
      <c r="AB11" s="8" t="s">
        <v>0</v>
      </c>
      <c r="AC11" s="8"/>
      <c r="AD11" s="8"/>
      <c r="AE11"/>
      <c r="AF11"/>
      <c r="AG11"/>
      <c r="AH11"/>
    </row>
    <row r="12" spans="1:34" ht="12.75">
      <c r="A12" s="36">
        <v>5</v>
      </c>
      <c r="B12" s="85">
        <f aca="true" t="shared" si="0" ref="B12:B21">MIN(B25,C25)</f>
        <v>12.489728671875001</v>
      </c>
      <c r="C12" s="86">
        <f>IF(B12=0,"Inf",MAX(D25,E25))</f>
        <v>0.960789486726177</v>
      </c>
      <c r="D12" s="107">
        <v>12</v>
      </c>
      <c r="E12" s="107">
        <v>12</v>
      </c>
      <c r="F12" s="108">
        <v>18</v>
      </c>
      <c r="G12" s="109">
        <v>68</v>
      </c>
      <c r="H12" s="109">
        <v>28</v>
      </c>
      <c r="I12" s="109">
        <v>20</v>
      </c>
      <c r="J12" s="110">
        <v>0</v>
      </c>
      <c r="K12" s="109">
        <v>0</v>
      </c>
      <c r="L12" s="109">
        <v>1</v>
      </c>
      <c r="M12" s="109">
        <v>2.4</v>
      </c>
      <c r="N12" s="81" t="s">
        <v>42</v>
      </c>
      <c r="O12" s="69">
        <f aca="true" t="shared" si="1" ref="O12:O21">VLOOKUP(COUPLING,CMTABLE,IF(VERTICAL_ORIGIN&lt;30,2,3))</f>
        <v>1</v>
      </c>
      <c r="P12" s="2">
        <f>IF(HORIZONTAL_ORIG&lt;10,1,IF(HORIZONTAL_ORIG&gt;30,0,10/HORIZONTAL_ORIG))</f>
        <v>0.5555555555555556</v>
      </c>
      <c r="Q12" s="69">
        <f aca="true" t="shared" si="2" ref="Q12:Q21">1-0.0075*ABS(VERTICAL_ORIGIN-30)</f>
        <v>0.7150000000000001</v>
      </c>
      <c r="R12" s="69">
        <f aca="true" t="shared" si="3" ref="R12:R21">IF(ABS(VERTICAL_ORIGIN-VERTICAL_DEST)&lt;10,1,0.82+(1.8/ABS(VERTICAL_ORIGIN-VERTICAL_DEST)))</f>
        <v>0.8574999999999999</v>
      </c>
      <c r="S12" s="69">
        <f aca="true" t="shared" si="4" ref="S12:S21">1-0.0032*MAX(ABS(J12),ABS(K12))</f>
        <v>1</v>
      </c>
      <c r="T12" s="70">
        <f aca="true" t="shared" si="5" ref="T12:T21">IF(M12&lt;0.2,1,VLOOKUP(FREQUENCY,FMTABLE,IF(AND(PERIOD&gt;2,VERTICAL_ORIGIN&lt;30),2,IF(AND(PERIOD&gt;2,VERTICAL_ORIGIN&gt;=30),3,IF(AND(PERIOD&gt;1,VERTICAL_ORIGIN&lt;30),4,IF(AND(PERIOD&gt;1,VERTICAL_ORIGIN&gt;=30),5,IF(AND(PERIOD&lt;=1,VERTICAL_ORIGIN&lt;30),6,7)))))))</f>
        <v>0.91</v>
      </c>
      <c r="U12"/>
      <c r="V12"/>
      <c r="W12"/>
      <c r="X12"/>
      <c r="Y12"/>
      <c r="Z12" s="39">
        <f aca="true" t="shared" si="6" ref="Z12:Z21">M12+Z11</f>
        <v>2.4</v>
      </c>
      <c r="AA12" s="6">
        <f aca="true" t="shared" si="7" ref="AA12:AA21">IF(Z12&lt;0.5,1,VLOOKUP(Z12,FMTABLE,IF(AND(PERIOD&gt;2,VERTICAL_ORIGIN&lt;30),2,IF(AND(PERIOD&gt;2,VERTICAL_ORIGIN&gt;=30),3,IF(AND(PERIOD&gt;1,VERTICAL_ORIGIN&lt;30),4,IF(AND(PERIOD&gt;1,VERTICAL_ORIGIN&gt;=30),5,IF(AND(PERIOD&lt;=1,VERTICAL_ORIGIN&lt;30),6,7)))))))</f>
        <v>0.91</v>
      </c>
      <c r="AB12" s="8">
        <f aca="true" t="shared" si="8" ref="AB12:AB21">IF(AA12&lt;=0,0,(1/AA12)-(1/AA11))</f>
        <v>1.0989010989000987</v>
      </c>
      <c r="AC12" s="8">
        <f aca="true" t="shared" si="9" ref="AC12:AC21">IF(OR(D12="",D12=" "),0,E12*T12/B12)</f>
        <v>0.8743184329208211</v>
      </c>
      <c r="AD12" s="8">
        <f aca="true" t="shared" si="10" ref="AD12:AD21">AC12*AB12</f>
        <v>0.9607894867253025</v>
      </c>
      <c r="AE12"/>
      <c r="AF12"/>
      <c r="AG12"/>
      <c r="AH12"/>
    </row>
    <row r="13" spans="1:34" s="12" customFormat="1" ht="12.75">
      <c r="A13" s="36">
        <v>6</v>
      </c>
      <c r="B13" s="85">
        <f t="shared" si="0"/>
        <v>23.768718339843748</v>
      </c>
      <c r="C13" s="86">
        <f aca="true" t="shared" si="11" ref="C13:C21">IF(B13=0,"Inf",MAX(D26,E26))</f>
        <v>0.5048652530786347</v>
      </c>
      <c r="D13" s="107">
        <v>12</v>
      </c>
      <c r="E13" s="107">
        <v>12</v>
      </c>
      <c r="F13" s="108">
        <v>12</v>
      </c>
      <c r="G13" s="109">
        <v>4</v>
      </c>
      <c r="H13" s="109">
        <v>16</v>
      </c>
      <c r="I13" s="109">
        <v>20</v>
      </c>
      <c r="J13" s="110">
        <v>0</v>
      </c>
      <c r="K13" s="109">
        <v>0</v>
      </c>
      <c r="L13" s="109">
        <v>1</v>
      </c>
      <c r="M13" s="109">
        <v>2.4</v>
      </c>
      <c r="N13" s="81" t="s">
        <v>42</v>
      </c>
      <c r="O13" s="69">
        <f t="shared" si="1"/>
        <v>0.95</v>
      </c>
      <c r="P13" s="2">
        <f aca="true" t="shared" si="12" ref="P13:P21">IF(HORIZONTAL_ORIG&lt;10,1,IF(HORIZONTAL_ORIG&gt;30,0,10/HORIZONTAL_ORIG))</f>
        <v>0.8333333333333334</v>
      </c>
      <c r="Q13" s="69">
        <f t="shared" si="2"/>
        <v>0.8049999999999999</v>
      </c>
      <c r="R13" s="69">
        <f t="shared" si="3"/>
        <v>0.9325</v>
      </c>
      <c r="S13" s="69">
        <f t="shared" si="4"/>
        <v>1</v>
      </c>
      <c r="T13" s="70">
        <f t="shared" si="5"/>
        <v>0.91</v>
      </c>
      <c r="U13"/>
      <c r="V13"/>
      <c r="W13"/>
      <c r="X13"/>
      <c r="Y13"/>
      <c r="Z13" s="39">
        <f t="shared" si="6"/>
        <v>4.8</v>
      </c>
      <c r="AA13" s="6">
        <f t="shared" si="7"/>
        <v>0.84</v>
      </c>
      <c r="AB13" s="8">
        <f t="shared" si="8"/>
        <v>0.0915750915750917</v>
      </c>
      <c r="AC13" s="8">
        <f t="shared" si="9"/>
        <v>0.4594273803015576</v>
      </c>
      <c r="AD13" s="8">
        <f t="shared" si="10"/>
        <v>0.04207210442321962</v>
      </c>
      <c r="AE13"/>
      <c r="AF13"/>
      <c r="AG13"/>
      <c r="AH13"/>
    </row>
    <row r="14" spans="1:34" s="12" customFormat="1" ht="12.75">
      <c r="A14" s="36">
        <v>4</v>
      </c>
      <c r="B14" s="85">
        <f t="shared" si="0"/>
        <v>21.2229666796875</v>
      </c>
      <c r="C14" s="86">
        <f t="shared" si="11"/>
        <v>0.5654251915442717</v>
      </c>
      <c r="D14" s="107">
        <v>12</v>
      </c>
      <c r="E14" s="107">
        <v>12</v>
      </c>
      <c r="F14" s="108">
        <v>16</v>
      </c>
      <c r="G14" s="109">
        <v>52</v>
      </c>
      <c r="H14" s="109">
        <v>16</v>
      </c>
      <c r="I14" s="109">
        <v>20</v>
      </c>
      <c r="J14" s="110">
        <v>0</v>
      </c>
      <c r="K14" s="109">
        <v>0</v>
      </c>
      <c r="L14" s="109">
        <v>1</v>
      </c>
      <c r="M14" s="109">
        <v>2.4</v>
      </c>
      <c r="N14" s="81" t="s">
        <v>42</v>
      </c>
      <c r="O14" s="69">
        <f t="shared" si="1"/>
        <v>1</v>
      </c>
      <c r="P14" s="2">
        <f t="shared" si="12"/>
        <v>0.625</v>
      </c>
      <c r="Q14" s="69">
        <f t="shared" si="2"/>
        <v>0.835</v>
      </c>
      <c r="R14" s="69">
        <f t="shared" si="3"/>
        <v>0.87625</v>
      </c>
      <c r="S14" s="69">
        <f t="shared" si="4"/>
        <v>1</v>
      </c>
      <c r="T14" s="70">
        <f t="shared" si="5"/>
        <v>0.91</v>
      </c>
      <c r="U14"/>
      <c r="V14"/>
      <c r="W14"/>
      <c r="X14"/>
      <c r="Y14"/>
      <c r="Z14" s="39">
        <f t="shared" si="6"/>
        <v>7.199999999999999</v>
      </c>
      <c r="AA14" s="6">
        <f t="shared" si="7"/>
        <v>0.7</v>
      </c>
      <c r="AB14" s="8">
        <f t="shared" si="8"/>
        <v>0.23809523809523814</v>
      </c>
      <c r="AC14" s="8">
        <f t="shared" si="9"/>
        <v>0.5145369243052872</v>
      </c>
      <c r="AD14" s="8">
        <f t="shared" si="10"/>
        <v>0.12250879150125887</v>
      </c>
      <c r="AE14"/>
      <c r="AF14"/>
      <c r="AG14"/>
      <c r="AH14"/>
    </row>
    <row r="15" spans="1:34" s="12" customFormat="1" ht="12.75">
      <c r="A15" s="36">
        <v>9</v>
      </c>
      <c r="B15" s="85">
        <f t="shared" si="0"/>
        <v>21.2229666796875</v>
      </c>
      <c r="C15" s="86">
        <f t="shared" si="11"/>
        <v>0.5654251915442717</v>
      </c>
      <c r="D15" s="107">
        <v>12</v>
      </c>
      <c r="E15" s="107">
        <v>12</v>
      </c>
      <c r="F15" s="108">
        <v>16</v>
      </c>
      <c r="G15" s="109">
        <v>52</v>
      </c>
      <c r="H15" s="109">
        <v>16</v>
      </c>
      <c r="I15" s="109">
        <v>20</v>
      </c>
      <c r="J15" s="110">
        <v>0</v>
      </c>
      <c r="K15" s="109">
        <v>0</v>
      </c>
      <c r="L15" s="109">
        <v>1</v>
      </c>
      <c r="M15" s="109">
        <v>2.4</v>
      </c>
      <c r="N15" s="81" t="s">
        <v>42</v>
      </c>
      <c r="O15" s="69">
        <f t="shared" si="1"/>
        <v>1</v>
      </c>
      <c r="P15" s="2">
        <f t="shared" si="12"/>
        <v>0.625</v>
      </c>
      <c r="Q15" s="69">
        <f t="shared" si="2"/>
        <v>0.835</v>
      </c>
      <c r="R15" s="69">
        <f t="shared" si="3"/>
        <v>0.87625</v>
      </c>
      <c r="S15" s="69">
        <f t="shared" si="4"/>
        <v>1</v>
      </c>
      <c r="T15" s="70">
        <f t="shared" si="5"/>
        <v>0.91</v>
      </c>
      <c r="U15"/>
      <c r="V15"/>
      <c r="W15"/>
      <c r="X15"/>
      <c r="Y15"/>
      <c r="Z15" s="39">
        <f t="shared" si="6"/>
        <v>9.6</v>
      </c>
      <c r="AA15" s="6">
        <f t="shared" si="7"/>
        <v>0.52</v>
      </c>
      <c r="AB15" s="8">
        <f t="shared" si="8"/>
        <v>0.4945054945054943</v>
      </c>
      <c r="AC15" s="8">
        <f t="shared" si="9"/>
        <v>0.5145369243052872</v>
      </c>
      <c r="AD15" s="8">
        <f t="shared" si="10"/>
        <v>0.25444133619492215</v>
      </c>
      <c r="AE15"/>
      <c r="AF15"/>
      <c r="AG15"/>
      <c r="AH15"/>
    </row>
    <row r="16" spans="1:34" ht="12.75">
      <c r="A16" s="36">
        <v>10</v>
      </c>
      <c r="B16" s="85">
        <f t="shared" si="0"/>
        <v>21.2229666796875</v>
      </c>
      <c r="C16" s="86">
        <f t="shared" si="11"/>
        <v>0.5654251915442717</v>
      </c>
      <c r="D16" s="107">
        <v>12</v>
      </c>
      <c r="E16" s="107">
        <v>12</v>
      </c>
      <c r="F16" s="108">
        <v>16</v>
      </c>
      <c r="G16" s="109">
        <v>52</v>
      </c>
      <c r="H16" s="109">
        <v>16</v>
      </c>
      <c r="I16" s="109">
        <v>20</v>
      </c>
      <c r="J16" s="110">
        <v>0</v>
      </c>
      <c r="K16" s="109">
        <v>0</v>
      </c>
      <c r="L16" s="109">
        <v>1</v>
      </c>
      <c r="M16" s="109">
        <v>2.4</v>
      </c>
      <c r="N16" s="81" t="s">
        <v>42</v>
      </c>
      <c r="O16" s="69">
        <f t="shared" si="1"/>
        <v>1</v>
      </c>
      <c r="P16" s="2">
        <f t="shared" si="12"/>
        <v>0.625</v>
      </c>
      <c r="Q16" s="69">
        <f t="shared" si="2"/>
        <v>0.835</v>
      </c>
      <c r="R16" s="69">
        <f t="shared" si="3"/>
        <v>0.87625</v>
      </c>
      <c r="S16" s="69">
        <f t="shared" si="4"/>
        <v>1</v>
      </c>
      <c r="T16" s="70">
        <f t="shared" si="5"/>
        <v>0.91</v>
      </c>
      <c r="U16"/>
      <c r="V16"/>
      <c r="W16"/>
      <c r="X16"/>
      <c r="Y16"/>
      <c r="Z16" s="39">
        <f t="shared" si="6"/>
        <v>12</v>
      </c>
      <c r="AA16" s="6">
        <f t="shared" si="7"/>
        <v>0.37</v>
      </c>
      <c r="AB16" s="8">
        <f t="shared" si="8"/>
        <v>0.7796257796257797</v>
      </c>
      <c r="AC16" s="8">
        <f t="shared" si="9"/>
        <v>0.5145369243052872</v>
      </c>
      <c r="AD16" s="8">
        <f t="shared" si="10"/>
        <v>0.40114625075776034</v>
      </c>
      <c r="AE16"/>
      <c r="AF16"/>
      <c r="AG16"/>
      <c r="AH16"/>
    </row>
    <row r="17" spans="1:34" ht="12.75">
      <c r="A17" s="36">
        <v>3</v>
      </c>
      <c r="B17" s="85">
        <f t="shared" si="0"/>
        <v>24.04255546875</v>
      </c>
      <c r="C17" s="86">
        <f t="shared" si="11"/>
        <v>0.4991149969726531</v>
      </c>
      <c r="D17" s="107">
        <v>12</v>
      </c>
      <c r="E17" s="107">
        <v>12</v>
      </c>
      <c r="F17" s="108">
        <v>16</v>
      </c>
      <c r="G17" s="109">
        <v>13</v>
      </c>
      <c r="H17" s="109">
        <v>16</v>
      </c>
      <c r="I17" s="109">
        <v>20</v>
      </c>
      <c r="J17" s="110">
        <v>0</v>
      </c>
      <c r="K17" s="109">
        <v>0</v>
      </c>
      <c r="L17" s="109">
        <v>1</v>
      </c>
      <c r="M17" s="109">
        <v>2.4</v>
      </c>
      <c r="N17" s="81" t="s">
        <v>42</v>
      </c>
      <c r="O17" s="69">
        <f t="shared" si="1"/>
        <v>0.95</v>
      </c>
      <c r="P17" s="2">
        <f t="shared" si="12"/>
        <v>0.625</v>
      </c>
      <c r="Q17" s="69">
        <f t="shared" si="2"/>
        <v>0.8725</v>
      </c>
      <c r="R17" s="69">
        <f t="shared" si="3"/>
        <v>1</v>
      </c>
      <c r="S17" s="69">
        <f t="shared" si="4"/>
        <v>1</v>
      </c>
      <c r="T17" s="70">
        <f t="shared" si="5"/>
        <v>0.91</v>
      </c>
      <c r="U17"/>
      <c r="V17"/>
      <c r="W17"/>
      <c r="X17"/>
      <c r="Y17"/>
      <c r="Z17" s="39">
        <f t="shared" si="6"/>
        <v>14.4</v>
      </c>
      <c r="AA17" s="6">
        <f t="shared" si="7"/>
        <v>0</v>
      </c>
      <c r="AB17" s="8">
        <f t="shared" si="8"/>
        <v>0</v>
      </c>
      <c r="AC17" s="8">
        <f t="shared" si="9"/>
        <v>0.4541946472451143</v>
      </c>
      <c r="AD17" s="8">
        <f t="shared" si="10"/>
        <v>0</v>
      </c>
      <c r="AE17"/>
      <c r="AF17"/>
      <c r="AG17"/>
      <c r="AH17"/>
    </row>
    <row r="18" spans="1:34" ht="12.75">
      <c r="A18" s="36">
        <v>8</v>
      </c>
      <c r="B18" s="85">
        <f t="shared" si="0"/>
        <v>23.768718339843748</v>
      </c>
      <c r="C18" s="86">
        <f t="shared" si="11"/>
        <v>0.5048652530786347</v>
      </c>
      <c r="D18" s="107">
        <v>12</v>
      </c>
      <c r="E18" s="107">
        <v>12</v>
      </c>
      <c r="F18" s="108">
        <v>16</v>
      </c>
      <c r="G18" s="109">
        <v>36</v>
      </c>
      <c r="H18" s="109">
        <v>16</v>
      </c>
      <c r="I18" s="109">
        <v>20</v>
      </c>
      <c r="J18" s="110">
        <v>0</v>
      </c>
      <c r="K18" s="109">
        <v>0</v>
      </c>
      <c r="L18" s="109">
        <v>1</v>
      </c>
      <c r="M18" s="109">
        <v>2.4</v>
      </c>
      <c r="N18" s="81" t="s">
        <v>42</v>
      </c>
      <c r="O18" s="69">
        <f t="shared" si="1"/>
        <v>1</v>
      </c>
      <c r="P18" s="2">
        <f t="shared" si="12"/>
        <v>0.625</v>
      </c>
      <c r="Q18" s="69">
        <f t="shared" si="2"/>
        <v>0.955</v>
      </c>
      <c r="R18" s="69">
        <f t="shared" si="3"/>
        <v>0.9325</v>
      </c>
      <c r="S18" s="69">
        <f t="shared" si="4"/>
        <v>1</v>
      </c>
      <c r="T18" s="70">
        <f t="shared" si="5"/>
        <v>0.91</v>
      </c>
      <c r="U18"/>
      <c r="V18"/>
      <c r="W18"/>
      <c r="X18"/>
      <c r="Y18"/>
      <c r="Z18" s="39">
        <f t="shared" si="6"/>
        <v>16.8</v>
      </c>
      <c r="AA18" s="6">
        <f t="shared" si="7"/>
        <v>0</v>
      </c>
      <c r="AB18" s="8">
        <f t="shared" si="8"/>
        <v>0</v>
      </c>
      <c r="AC18" s="8">
        <f t="shared" si="9"/>
        <v>0.4594273803015576</v>
      </c>
      <c r="AD18" s="8">
        <f t="shared" si="10"/>
        <v>0</v>
      </c>
      <c r="AE18"/>
      <c r="AF18"/>
      <c r="AG18"/>
      <c r="AH18"/>
    </row>
    <row r="19" spans="1:34" ht="12.75">
      <c r="A19" s="36">
        <v>1</v>
      </c>
      <c r="B19" s="85">
        <f t="shared" si="0"/>
        <v>22.771499999999996</v>
      </c>
      <c r="C19" s="86">
        <f t="shared" si="11"/>
        <v>0.5269745076081945</v>
      </c>
      <c r="D19" s="107">
        <v>12</v>
      </c>
      <c r="E19" s="107">
        <v>12</v>
      </c>
      <c r="F19" s="108">
        <v>18</v>
      </c>
      <c r="G19" s="109">
        <v>20</v>
      </c>
      <c r="H19" s="109">
        <v>20</v>
      </c>
      <c r="I19" s="109">
        <v>22</v>
      </c>
      <c r="J19" s="110">
        <v>0</v>
      </c>
      <c r="K19" s="109">
        <v>0</v>
      </c>
      <c r="L19" s="109">
        <v>8</v>
      </c>
      <c r="M19" s="109">
        <v>0.1</v>
      </c>
      <c r="N19" s="81" t="s">
        <v>42</v>
      </c>
      <c r="O19" s="69">
        <f t="shared" si="1"/>
        <v>0.95</v>
      </c>
      <c r="P19" s="2">
        <f t="shared" si="12"/>
        <v>0.5555555555555556</v>
      </c>
      <c r="Q19" s="69">
        <f t="shared" si="2"/>
        <v>0.925</v>
      </c>
      <c r="R19" s="69">
        <f t="shared" si="3"/>
        <v>1</v>
      </c>
      <c r="S19" s="69">
        <f t="shared" si="4"/>
        <v>1</v>
      </c>
      <c r="T19" s="70">
        <f t="shared" si="5"/>
        <v>1</v>
      </c>
      <c r="U19"/>
      <c r="V19"/>
      <c r="W19"/>
      <c r="X19"/>
      <c r="Y19"/>
      <c r="Z19" s="39">
        <f t="shared" si="6"/>
        <v>16.900000000000002</v>
      </c>
      <c r="AA19" s="6">
        <f t="shared" si="7"/>
        <v>0</v>
      </c>
      <c r="AB19" s="8">
        <f t="shared" si="8"/>
        <v>0</v>
      </c>
      <c r="AC19" s="8">
        <f t="shared" si="9"/>
        <v>0.5269745076081945</v>
      </c>
      <c r="AD19" s="8">
        <f t="shared" si="10"/>
        <v>0</v>
      </c>
      <c r="AE19"/>
      <c r="AF19"/>
      <c r="AG19"/>
      <c r="AH19"/>
    </row>
    <row r="20" spans="1:34" ht="12.75">
      <c r="A20" s="36">
        <v>2</v>
      </c>
      <c r="B20" s="85">
        <f t="shared" si="0"/>
        <v>25.4892421875</v>
      </c>
      <c r="C20" s="86">
        <f t="shared" si="11"/>
        <v>0.4707868484958268</v>
      </c>
      <c r="D20" s="107">
        <v>12</v>
      </c>
      <c r="E20" s="107">
        <v>12</v>
      </c>
      <c r="F20" s="108">
        <v>16</v>
      </c>
      <c r="G20" s="109">
        <v>20</v>
      </c>
      <c r="H20" s="109">
        <v>16</v>
      </c>
      <c r="I20" s="109">
        <v>20</v>
      </c>
      <c r="J20" s="110">
        <v>0</v>
      </c>
      <c r="K20" s="109">
        <v>0</v>
      </c>
      <c r="L20" s="109">
        <v>1</v>
      </c>
      <c r="M20" s="109">
        <v>2.4</v>
      </c>
      <c r="N20" s="81" t="s">
        <v>42</v>
      </c>
      <c r="O20" s="69">
        <f t="shared" si="1"/>
        <v>0.95</v>
      </c>
      <c r="P20" s="2">
        <f t="shared" si="12"/>
        <v>0.625</v>
      </c>
      <c r="Q20" s="69">
        <f t="shared" si="2"/>
        <v>0.925</v>
      </c>
      <c r="R20" s="69">
        <f t="shared" si="3"/>
        <v>1</v>
      </c>
      <c r="S20" s="69">
        <f t="shared" si="4"/>
        <v>1</v>
      </c>
      <c r="T20" s="70">
        <f t="shared" si="5"/>
        <v>0.91</v>
      </c>
      <c r="U20"/>
      <c r="V20"/>
      <c r="W20"/>
      <c r="X20"/>
      <c r="Y20"/>
      <c r="Z20" s="39">
        <f t="shared" si="6"/>
        <v>19.3</v>
      </c>
      <c r="AA20" s="6">
        <f t="shared" si="7"/>
        <v>0</v>
      </c>
      <c r="AB20" s="8">
        <f t="shared" si="8"/>
        <v>0</v>
      </c>
      <c r="AC20" s="8">
        <f t="shared" si="9"/>
        <v>0.4284160321312024</v>
      </c>
      <c r="AD20" s="8">
        <f t="shared" si="10"/>
        <v>0</v>
      </c>
      <c r="AE20"/>
      <c r="AF20"/>
      <c r="AG20"/>
      <c r="AH20"/>
    </row>
    <row r="21" spans="1:34" ht="13.5" thickBot="1">
      <c r="A21" s="37">
        <v>7</v>
      </c>
      <c r="B21" s="85">
        <f t="shared" si="0"/>
        <v>25.4892421875</v>
      </c>
      <c r="C21" s="86">
        <f t="shared" si="11"/>
        <v>0.4707868484958268</v>
      </c>
      <c r="D21" s="107">
        <v>12</v>
      </c>
      <c r="E21" s="107">
        <v>12</v>
      </c>
      <c r="F21" s="108">
        <v>16</v>
      </c>
      <c r="G21" s="109">
        <v>20</v>
      </c>
      <c r="H21" s="109">
        <v>16</v>
      </c>
      <c r="I21" s="109">
        <v>20</v>
      </c>
      <c r="J21" s="110">
        <v>0</v>
      </c>
      <c r="K21" s="109">
        <v>0</v>
      </c>
      <c r="L21" s="109">
        <v>1</v>
      </c>
      <c r="M21" s="109">
        <v>2.4</v>
      </c>
      <c r="N21" s="81" t="s">
        <v>42</v>
      </c>
      <c r="O21" s="69">
        <f t="shared" si="1"/>
        <v>0.95</v>
      </c>
      <c r="P21" s="2">
        <f t="shared" si="12"/>
        <v>0.625</v>
      </c>
      <c r="Q21" s="69">
        <f t="shared" si="2"/>
        <v>0.925</v>
      </c>
      <c r="R21" s="69">
        <f t="shared" si="3"/>
        <v>1</v>
      </c>
      <c r="S21" s="69">
        <f t="shared" si="4"/>
        <v>1</v>
      </c>
      <c r="T21" s="70">
        <f t="shared" si="5"/>
        <v>0.91</v>
      </c>
      <c r="U21"/>
      <c r="V21"/>
      <c r="W21"/>
      <c r="X21"/>
      <c r="Y21"/>
      <c r="Z21" s="39">
        <f t="shared" si="6"/>
        <v>21.7</v>
      </c>
      <c r="AA21" s="6">
        <f t="shared" si="7"/>
        <v>0</v>
      </c>
      <c r="AB21" s="8">
        <f t="shared" si="8"/>
        <v>0</v>
      </c>
      <c r="AC21" s="8">
        <f t="shared" si="9"/>
        <v>0.4284160321312024</v>
      </c>
      <c r="AD21" s="8">
        <f t="shared" si="10"/>
        <v>0</v>
      </c>
      <c r="AE21"/>
      <c r="AF21"/>
      <c r="AG21"/>
      <c r="AH21"/>
    </row>
    <row r="22" spans="1:36" s="96" customFormat="1" ht="14.25" thickBot="1" thickTop="1">
      <c r="A22" s="91" t="s">
        <v>0</v>
      </c>
      <c r="B22" s="92" t="s">
        <v>0</v>
      </c>
      <c r="C22" s="92"/>
      <c r="D22" s="92" t="s">
        <v>0</v>
      </c>
      <c r="E22" s="92"/>
      <c r="F22" s="92"/>
      <c r="G22" s="92"/>
      <c r="H22" s="93"/>
      <c r="I22" s="93"/>
      <c r="J22" s="93"/>
      <c r="K22" s="93"/>
      <c r="L22" s="93"/>
      <c r="M22" s="93"/>
      <c r="N22" s="93"/>
      <c r="O22" s="93"/>
      <c r="P22" s="93" t="s">
        <v>0</v>
      </c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C22" s="101"/>
      <c r="AD22" s="102"/>
      <c r="AE22" s="102"/>
      <c r="AF22" s="102"/>
      <c r="AG22" s="95"/>
      <c r="AH22" s="95"/>
      <c r="AI22" s="95"/>
      <c r="AJ22" s="95"/>
    </row>
    <row r="23" spans="1:36" ht="16.5" thickBot="1" thickTop="1">
      <c r="A23" s="38" t="s">
        <v>12</v>
      </c>
      <c r="B23" s="19" t="s">
        <v>43</v>
      </c>
      <c r="C23" s="19" t="s">
        <v>43</v>
      </c>
      <c r="D23" s="19" t="s">
        <v>26</v>
      </c>
      <c r="E23" s="19" t="s">
        <v>26</v>
      </c>
      <c r="F23" s="19"/>
      <c r="G23" s="19"/>
      <c r="H23" s="20"/>
      <c r="I23" s="20"/>
      <c r="J23" s="20"/>
      <c r="K23" s="20"/>
      <c r="L23"/>
      <c r="M23"/>
      <c r="N23" s="134"/>
      <c r="O23"/>
      <c r="P23"/>
      <c r="Q23" s="56" t="s">
        <v>0</v>
      </c>
      <c r="R23" s="3"/>
      <c r="S23" s="3"/>
      <c r="T23" s="56" t="s">
        <v>0</v>
      </c>
      <c r="U23" s="57"/>
      <c r="V23" s="57"/>
      <c r="W23" s="56" t="s">
        <v>0</v>
      </c>
      <c r="X23" s="3" t="s">
        <v>0</v>
      </c>
      <c r="Y23" s="6"/>
      <c r="Z23" s="39"/>
      <c r="AA23" s="39"/>
      <c r="AC23" s="7"/>
      <c r="AD23" s="8"/>
      <c r="AE23" s="8"/>
      <c r="AF23" s="8"/>
      <c r="AG23"/>
      <c r="AH23"/>
      <c r="AI23"/>
      <c r="AJ23"/>
    </row>
    <row r="24" spans="1:36" s="126" customFormat="1" ht="13.5" thickBot="1">
      <c r="A24" s="118" t="s">
        <v>24</v>
      </c>
      <c r="B24" s="119" t="s">
        <v>44</v>
      </c>
      <c r="C24" s="119" t="s">
        <v>32</v>
      </c>
      <c r="D24" s="119" t="s">
        <v>44</v>
      </c>
      <c r="E24" s="119" t="s">
        <v>32</v>
      </c>
      <c r="F24" s="120" t="s">
        <v>37</v>
      </c>
      <c r="G24" s="119" t="s">
        <v>38</v>
      </c>
      <c r="H24" s="119" t="s">
        <v>39</v>
      </c>
      <c r="I24" s="120" t="s">
        <v>41</v>
      </c>
      <c r="J24" s="120" t="s">
        <v>40</v>
      </c>
      <c r="K24" s="120" t="s">
        <v>36</v>
      </c>
      <c r="L24" s="121"/>
      <c r="M24" s="129" t="s">
        <v>60</v>
      </c>
      <c r="N24" s="135"/>
      <c r="O24" s="121"/>
      <c r="P24" s="121"/>
      <c r="Q24" s="122" t="s">
        <v>36</v>
      </c>
      <c r="R24" s="123" t="s">
        <v>37</v>
      </c>
      <c r="S24" s="124" t="s">
        <v>38</v>
      </c>
      <c r="T24" s="122" t="s">
        <v>39</v>
      </c>
      <c r="U24" s="122" t="s">
        <v>40</v>
      </c>
      <c r="V24" s="125" t="s">
        <v>41</v>
      </c>
      <c r="W24" s="121"/>
      <c r="X24" s="121"/>
      <c r="Y24" s="121"/>
      <c r="Z24" s="121"/>
      <c r="AA24" s="121"/>
      <c r="AC24" s="127"/>
      <c r="AD24" s="128"/>
      <c r="AE24" s="128"/>
      <c r="AF24" s="128"/>
      <c r="AG24" s="121"/>
      <c r="AH24" s="121"/>
      <c r="AI24" s="121"/>
      <c r="AJ24" s="121"/>
    </row>
    <row r="25" spans="1:36" ht="13.5" thickTop="1">
      <c r="A25" s="36">
        <f aca="true" t="shared" si="13" ref="A25:A34">A12</f>
        <v>5</v>
      </c>
      <c r="B25" s="117">
        <f aca="true" t="shared" si="14" ref="B25:B34">51*O12*P12*Q12*R12*S12*T12</f>
        <v>15.808083958333336</v>
      </c>
      <c r="C25" s="117">
        <f aca="true" t="shared" si="15" ref="C25:C34">51*Q25*R25*S25*T25*U25*V25</f>
        <v>12.489728671875001</v>
      </c>
      <c r="D25" s="2">
        <f>IF(B25=0,"Inf",MAX(D12/B25,E12*T12/B25))</f>
        <v>0.7591052800345307</v>
      </c>
      <c r="E25" s="2">
        <f>IF(C25=0,"Inf",MAX(D12/C25,E12*T12/C25))</f>
        <v>0.960789486726177</v>
      </c>
      <c r="F25" s="2">
        <f>P12</f>
        <v>0.5555555555555556</v>
      </c>
      <c r="G25" s="2">
        <f aca="true" t="shared" si="16" ref="G25:G34">Q12</f>
        <v>0.7150000000000001</v>
      </c>
      <c r="H25" s="2">
        <f aca="true" t="shared" si="17" ref="H25:H34">R12</f>
        <v>0.8574999999999999</v>
      </c>
      <c r="I25" s="2">
        <f aca="true" t="shared" si="18" ref="I25:I34">T12</f>
        <v>0.91</v>
      </c>
      <c r="J25" s="2">
        <f aca="true" t="shared" si="19" ref="J25:J34">S12</f>
        <v>1</v>
      </c>
      <c r="K25" s="69">
        <f>O12</f>
        <v>1</v>
      </c>
      <c r="L25"/>
      <c r="M25" t="str">
        <f>IF(C12&lt;1,"Acceptable","Unacceptable")</f>
        <v>Acceptable</v>
      </c>
      <c r="N25" s="136"/>
      <c r="O25"/>
      <c r="P25"/>
      <c r="Q25" s="69">
        <f aca="true" t="shared" si="20" ref="Q25:Q34">VLOOKUP(N12,CMTABLE,IF(I12&lt;30,2,3))</f>
        <v>0.95</v>
      </c>
      <c r="R25" s="2">
        <f>IF(H12&lt;10,1,IF(H12&gt;30,0,10/H12))</f>
        <v>0.35714285714285715</v>
      </c>
      <c r="S25" s="69">
        <f aca="true" t="shared" si="21" ref="S25:S34">1-0.0075*ABS(I12-30)</f>
        <v>0.925</v>
      </c>
      <c r="T25" s="69">
        <f aca="true" t="shared" si="22" ref="T25:V34">R12</f>
        <v>0.8574999999999999</v>
      </c>
      <c r="U25" s="69">
        <f t="shared" si="22"/>
        <v>1</v>
      </c>
      <c r="V25" s="70">
        <f t="shared" si="22"/>
        <v>0.91</v>
      </c>
      <c r="W25"/>
      <c r="X25"/>
      <c r="Y25"/>
      <c r="Z25"/>
      <c r="AA25"/>
      <c r="AC25" s="7"/>
      <c r="AD25" s="8"/>
      <c r="AE25" s="8"/>
      <c r="AF25" s="8"/>
      <c r="AG25"/>
      <c r="AH25"/>
      <c r="AI25"/>
      <c r="AJ25"/>
    </row>
    <row r="26" spans="1:36" ht="12.75">
      <c r="A26" s="36">
        <f t="shared" si="13"/>
        <v>6</v>
      </c>
      <c r="B26" s="87">
        <f t="shared" si="14"/>
        <v>27.580278578124997</v>
      </c>
      <c r="C26" s="87">
        <f t="shared" si="15"/>
        <v>23.768718339843748</v>
      </c>
      <c r="D26" s="2">
        <f aca="true" t="shared" si="23" ref="D26:D34">IF(B26=0,"Inf",MAX(D13/B26,E13*T13/B26))</f>
        <v>0.43509350226497245</v>
      </c>
      <c r="E26" s="2">
        <f aca="true" t="shared" si="24" ref="E26:E34">IF(C26=0,"Inf",MAX(D13/C26,E13*T13/C26))</f>
        <v>0.5048652530786347</v>
      </c>
      <c r="F26" s="2">
        <f aca="true" t="shared" si="25" ref="F26:F34">P13</f>
        <v>0.8333333333333334</v>
      </c>
      <c r="G26" s="88">
        <f t="shared" si="16"/>
        <v>0.8049999999999999</v>
      </c>
      <c r="H26" s="88">
        <f t="shared" si="17"/>
        <v>0.9325</v>
      </c>
      <c r="I26" s="88">
        <f t="shared" si="18"/>
        <v>0.91</v>
      </c>
      <c r="J26" s="88">
        <f t="shared" si="19"/>
        <v>1</v>
      </c>
      <c r="K26" s="88">
        <f aca="true" t="shared" si="26" ref="K26:K34">O13</f>
        <v>0.95</v>
      </c>
      <c r="L26"/>
      <c r="M26" t="str">
        <f aca="true" t="shared" si="27" ref="M26:M34">IF(C13&lt;1,"Acceptable","Unacceptable")</f>
        <v>Acceptable</v>
      </c>
      <c r="N26" s="136"/>
      <c r="O26"/>
      <c r="P26"/>
      <c r="Q26" s="69">
        <f t="shared" si="20"/>
        <v>0.95</v>
      </c>
      <c r="R26" s="2">
        <f aca="true" t="shared" si="28" ref="R26:R34">IF(H13&lt;10,1,IF(H13&gt;30,0,10/H13))</f>
        <v>0.625</v>
      </c>
      <c r="S26" s="69">
        <f t="shared" si="21"/>
        <v>0.925</v>
      </c>
      <c r="T26" s="69">
        <f t="shared" si="22"/>
        <v>0.9325</v>
      </c>
      <c r="U26" s="69">
        <f t="shared" si="22"/>
        <v>1</v>
      </c>
      <c r="V26" s="70">
        <f t="shared" si="22"/>
        <v>0.91</v>
      </c>
      <c r="W26"/>
      <c r="X26"/>
      <c r="Y26"/>
      <c r="Z26"/>
      <c r="AA26"/>
      <c r="AC26" s="7"/>
      <c r="AD26" s="8"/>
      <c r="AE26" s="8"/>
      <c r="AF26" s="8"/>
      <c r="AG26"/>
      <c r="AH26"/>
      <c r="AI26"/>
      <c r="AJ26"/>
    </row>
    <row r="27" spans="1:36" ht="12.75">
      <c r="A27" s="36">
        <f t="shared" si="13"/>
        <v>4</v>
      </c>
      <c r="B27" s="87">
        <f t="shared" si="14"/>
        <v>21.2229666796875</v>
      </c>
      <c r="C27" s="87">
        <f t="shared" si="15"/>
        <v>22.334948466796874</v>
      </c>
      <c r="D27" s="2">
        <f t="shared" si="23"/>
        <v>0.5654251915442717</v>
      </c>
      <c r="E27" s="2">
        <f t="shared" si="24"/>
        <v>0.5372745774560078</v>
      </c>
      <c r="F27" s="2">
        <f t="shared" si="25"/>
        <v>0.625</v>
      </c>
      <c r="G27" s="88">
        <f t="shared" si="16"/>
        <v>0.835</v>
      </c>
      <c r="H27" s="88">
        <f t="shared" si="17"/>
        <v>0.87625</v>
      </c>
      <c r="I27" s="88">
        <f t="shared" si="18"/>
        <v>0.91</v>
      </c>
      <c r="J27" s="88">
        <f t="shared" si="19"/>
        <v>1</v>
      </c>
      <c r="K27" s="88">
        <f t="shared" si="26"/>
        <v>1</v>
      </c>
      <c r="L27"/>
      <c r="M27" t="str">
        <f t="shared" si="27"/>
        <v>Acceptable</v>
      </c>
      <c r="N27" s="136"/>
      <c r="O27"/>
      <c r="P27"/>
      <c r="Q27" s="69">
        <f t="shared" si="20"/>
        <v>0.95</v>
      </c>
      <c r="R27" s="2">
        <f t="shared" si="28"/>
        <v>0.625</v>
      </c>
      <c r="S27" s="69">
        <f t="shared" si="21"/>
        <v>0.925</v>
      </c>
      <c r="T27" s="69">
        <f t="shared" si="22"/>
        <v>0.87625</v>
      </c>
      <c r="U27" s="69">
        <f t="shared" si="22"/>
        <v>1</v>
      </c>
      <c r="V27" s="70">
        <f t="shared" si="22"/>
        <v>0.91</v>
      </c>
      <c r="W27"/>
      <c r="X27"/>
      <c r="Y27"/>
      <c r="Z27"/>
      <c r="AA27"/>
      <c r="AC27" s="7"/>
      <c r="AD27" s="8"/>
      <c r="AE27" s="8"/>
      <c r="AF27" s="8"/>
      <c r="AG27"/>
      <c r="AH27"/>
      <c r="AI27"/>
      <c r="AJ27"/>
    </row>
    <row r="28" spans="1:36" ht="12.75">
      <c r="A28" s="36">
        <f t="shared" si="13"/>
        <v>9</v>
      </c>
      <c r="B28" s="87">
        <f t="shared" si="14"/>
        <v>21.2229666796875</v>
      </c>
      <c r="C28" s="87">
        <f t="shared" si="15"/>
        <v>22.334948466796874</v>
      </c>
      <c r="D28" s="2">
        <f t="shared" si="23"/>
        <v>0.5654251915442717</v>
      </c>
      <c r="E28" s="2">
        <f t="shared" si="24"/>
        <v>0.5372745774560078</v>
      </c>
      <c r="F28" s="2">
        <f t="shared" si="25"/>
        <v>0.625</v>
      </c>
      <c r="G28" s="88">
        <f t="shared" si="16"/>
        <v>0.835</v>
      </c>
      <c r="H28" s="88">
        <f t="shared" si="17"/>
        <v>0.87625</v>
      </c>
      <c r="I28" s="88">
        <f t="shared" si="18"/>
        <v>0.91</v>
      </c>
      <c r="J28" s="88">
        <f t="shared" si="19"/>
        <v>1</v>
      </c>
      <c r="K28" s="88">
        <f t="shared" si="26"/>
        <v>1</v>
      </c>
      <c r="L28"/>
      <c r="M28" t="str">
        <f t="shared" si="27"/>
        <v>Acceptable</v>
      </c>
      <c r="N28" s="136"/>
      <c r="O28"/>
      <c r="P28"/>
      <c r="Q28" s="69">
        <f t="shared" si="20"/>
        <v>0.95</v>
      </c>
      <c r="R28" s="2">
        <f t="shared" si="28"/>
        <v>0.625</v>
      </c>
      <c r="S28" s="69">
        <f t="shared" si="21"/>
        <v>0.925</v>
      </c>
      <c r="T28" s="69">
        <f t="shared" si="22"/>
        <v>0.87625</v>
      </c>
      <c r="U28" s="69">
        <f t="shared" si="22"/>
        <v>1</v>
      </c>
      <c r="V28" s="70">
        <f t="shared" si="22"/>
        <v>0.91</v>
      </c>
      <c r="W28"/>
      <c r="X28"/>
      <c r="Y28"/>
      <c r="Z28"/>
      <c r="AA28"/>
      <c r="AC28" s="7"/>
      <c r="AD28" s="8"/>
      <c r="AE28" s="8"/>
      <c r="AF28" s="8"/>
      <c r="AG28"/>
      <c r="AH28"/>
      <c r="AI28"/>
      <c r="AJ28"/>
    </row>
    <row r="29" spans="1:36" ht="12.75">
      <c r="A29" s="36">
        <f t="shared" si="13"/>
        <v>10</v>
      </c>
      <c r="B29" s="87">
        <f t="shared" si="14"/>
        <v>21.2229666796875</v>
      </c>
      <c r="C29" s="87">
        <f t="shared" si="15"/>
        <v>22.334948466796874</v>
      </c>
      <c r="D29" s="2">
        <f t="shared" si="23"/>
        <v>0.5654251915442717</v>
      </c>
      <c r="E29" s="2">
        <f t="shared" si="24"/>
        <v>0.5372745774560078</v>
      </c>
      <c r="F29" s="2">
        <f t="shared" si="25"/>
        <v>0.625</v>
      </c>
      <c r="G29" s="88">
        <f t="shared" si="16"/>
        <v>0.835</v>
      </c>
      <c r="H29" s="88">
        <f t="shared" si="17"/>
        <v>0.87625</v>
      </c>
      <c r="I29" s="88">
        <f t="shared" si="18"/>
        <v>0.91</v>
      </c>
      <c r="J29" s="88">
        <f t="shared" si="19"/>
        <v>1</v>
      </c>
      <c r="K29" s="88">
        <f t="shared" si="26"/>
        <v>1</v>
      </c>
      <c r="L29"/>
      <c r="M29" t="str">
        <f t="shared" si="27"/>
        <v>Acceptable</v>
      </c>
      <c r="N29" s="136"/>
      <c r="O29"/>
      <c r="P29"/>
      <c r="Q29" s="69">
        <f t="shared" si="20"/>
        <v>0.95</v>
      </c>
      <c r="R29" s="2">
        <f t="shared" si="28"/>
        <v>0.625</v>
      </c>
      <c r="S29" s="69">
        <f t="shared" si="21"/>
        <v>0.925</v>
      </c>
      <c r="T29" s="69">
        <f t="shared" si="22"/>
        <v>0.87625</v>
      </c>
      <c r="U29" s="69">
        <f t="shared" si="22"/>
        <v>1</v>
      </c>
      <c r="V29" s="70">
        <f t="shared" si="22"/>
        <v>0.91</v>
      </c>
      <c r="W29"/>
      <c r="X29"/>
      <c r="Y29"/>
      <c r="Z29"/>
      <c r="AA29"/>
      <c r="AC29" s="7"/>
      <c r="AD29" s="8"/>
      <c r="AE29" s="8"/>
      <c r="AF29" s="8"/>
      <c r="AG29"/>
      <c r="AH29"/>
      <c r="AI29"/>
      <c r="AJ29"/>
    </row>
    <row r="30" spans="1:36" ht="12.75">
      <c r="A30" s="36">
        <f t="shared" si="13"/>
        <v>3</v>
      </c>
      <c r="B30" s="87">
        <f t="shared" si="14"/>
        <v>24.04255546875</v>
      </c>
      <c r="C30" s="87">
        <f t="shared" si="15"/>
        <v>25.4892421875</v>
      </c>
      <c r="D30" s="2">
        <f t="shared" si="23"/>
        <v>0.4991149969726531</v>
      </c>
      <c r="E30" s="2">
        <f t="shared" si="24"/>
        <v>0.4707868484958268</v>
      </c>
      <c r="F30" s="2">
        <f t="shared" si="25"/>
        <v>0.625</v>
      </c>
      <c r="G30" s="88">
        <f t="shared" si="16"/>
        <v>0.8725</v>
      </c>
      <c r="H30" s="88">
        <f t="shared" si="17"/>
        <v>1</v>
      </c>
      <c r="I30" s="88">
        <f t="shared" si="18"/>
        <v>0.91</v>
      </c>
      <c r="J30" s="88">
        <f t="shared" si="19"/>
        <v>1</v>
      </c>
      <c r="K30" s="88">
        <f t="shared" si="26"/>
        <v>0.95</v>
      </c>
      <c r="L30"/>
      <c r="M30" t="str">
        <f t="shared" si="27"/>
        <v>Acceptable</v>
      </c>
      <c r="N30" s="136"/>
      <c r="O30"/>
      <c r="P30"/>
      <c r="Q30" s="69">
        <f t="shared" si="20"/>
        <v>0.95</v>
      </c>
      <c r="R30" s="2">
        <f t="shared" si="28"/>
        <v>0.625</v>
      </c>
      <c r="S30" s="69">
        <f t="shared" si="21"/>
        <v>0.925</v>
      </c>
      <c r="T30" s="69">
        <f t="shared" si="22"/>
        <v>1</v>
      </c>
      <c r="U30" s="69">
        <f t="shared" si="22"/>
        <v>1</v>
      </c>
      <c r="V30" s="70">
        <f t="shared" si="22"/>
        <v>0.91</v>
      </c>
      <c r="W30"/>
      <c r="X30"/>
      <c r="Y30"/>
      <c r="Z30"/>
      <c r="AA30"/>
      <c r="AC30" s="7"/>
      <c r="AD30" s="8"/>
      <c r="AE30" s="8"/>
      <c r="AF30" s="8"/>
      <c r="AG30"/>
      <c r="AH30"/>
      <c r="AI30"/>
      <c r="AJ30"/>
    </row>
    <row r="31" spans="1:36" ht="12.75">
      <c r="A31" s="36">
        <f t="shared" si="13"/>
        <v>8</v>
      </c>
      <c r="B31" s="87">
        <f t="shared" si="14"/>
        <v>25.831153359374998</v>
      </c>
      <c r="C31" s="87">
        <f t="shared" si="15"/>
        <v>23.768718339843748</v>
      </c>
      <c r="D31" s="2">
        <f t="shared" si="23"/>
        <v>0.46455533103963376</v>
      </c>
      <c r="E31" s="2">
        <f t="shared" si="24"/>
        <v>0.5048652530786347</v>
      </c>
      <c r="F31" s="2">
        <f t="shared" si="25"/>
        <v>0.625</v>
      </c>
      <c r="G31" s="88">
        <f t="shared" si="16"/>
        <v>0.955</v>
      </c>
      <c r="H31" s="88">
        <f t="shared" si="17"/>
        <v>0.9325</v>
      </c>
      <c r="I31" s="88">
        <f t="shared" si="18"/>
        <v>0.91</v>
      </c>
      <c r="J31" s="88">
        <f t="shared" si="19"/>
        <v>1</v>
      </c>
      <c r="K31" s="88">
        <f t="shared" si="26"/>
        <v>1</v>
      </c>
      <c r="L31"/>
      <c r="M31" t="str">
        <f t="shared" si="27"/>
        <v>Acceptable</v>
      </c>
      <c r="N31" s="136"/>
      <c r="O31"/>
      <c r="P31"/>
      <c r="Q31" s="69">
        <f t="shared" si="20"/>
        <v>0.95</v>
      </c>
      <c r="R31" s="2">
        <f t="shared" si="28"/>
        <v>0.625</v>
      </c>
      <c r="S31" s="69">
        <f t="shared" si="21"/>
        <v>0.925</v>
      </c>
      <c r="T31" s="69">
        <f t="shared" si="22"/>
        <v>0.9325</v>
      </c>
      <c r="U31" s="69">
        <f t="shared" si="22"/>
        <v>1</v>
      </c>
      <c r="V31" s="70">
        <f t="shared" si="22"/>
        <v>0.91</v>
      </c>
      <c r="W31"/>
      <c r="X31"/>
      <c r="Y31"/>
      <c r="Z31"/>
      <c r="AA31"/>
      <c r="AC31" s="7"/>
      <c r="AD31" s="8"/>
      <c r="AE31" s="8"/>
      <c r="AF31" s="8"/>
      <c r="AG31"/>
      <c r="AH31"/>
      <c r="AI31"/>
      <c r="AJ31"/>
    </row>
    <row r="32" spans="1:36" ht="12.75">
      <c r="A32" s="36">
        <f t="shared" si="13"/>
        <v>1</v>
      </c>
      <c r="B32" s="87">
        <f t="shared" si="14"/>
        <v>24.897916666666667</v>
      </c>
      <c r="C32" s="87">
        <f t="shared" si="15"/>
        <v>22.771499999999996</v>
      </c>
      <c r="D32" s="2">
        <f t="shared" si="23"/>
        <v>0.4819680361476027</v>
      </c>
      <c r="E32" s="2">
        <f t="shared" si="24"/>
        <v>0.5269745076081945</v>
      </c>
      <c r="F32" s="2">
        <f t="shared" si="25"/>
        <v>0.5555555555555556</v>
      </c>
      <c r="G32" s="88">
        <f t="shared" si="16"/>
        <v>0.925</v>
      </c>
      <c r="H32" s="88">
        <f t="shared" si="17"/>
        <v>1</v>
      </c>
      <c r="I32" s="88">
        <f t="shared" si="18"/>
        <v>1</v>
      </c>
      <c r="J32" s="88">
        <f t="shared" si="19"/>
        <v>1</v>
      </c>
      <c r="K32" s="88">
        <f t="shared" si="26"/>
        <v>0.95</v>
      </c>
      <c r="L32"/>
      <c r="M32" t="str">
        <f t="shared" si="27"/>
        <v>Acceptable</v>
      </c>
      <c r="N32" s="136"/>
      <c r="O32"/>
      <c r="P32"/>
      <c r="Q32" s="69">
        <f t="shared" si="20"/>
        <v>0.95</v>
      </c>
      <c r="R32" s="2">
        <f t="shared" si="28"/>
        <v>0.5</v>
      </c>
      <c r="S32" s="69">
        <f t="shared" si="21"/>
        <v>0.94</v>
      </c>
      <c r="T32" s="69">
        <f t="shared" si="22"/>
        <v>1</v>
      </c>
      <c r="U32" s="69">
        <f t="shared" si="22"/>
        <v>1</v>
      </c>
      <c r="V32" s="70">
        <f t="shared" si="22"/>
        <v>1</v>
      </c>
      <c r="W32"/>
      <c r="X32"/>
      <c r="Y32"/>
      <c r="Z32"/>
      <c r="AA32"/>
      <c r="AC32" s="7"/>
      <c r="AD32" s="8"/>
      <c r="AE32" s="8"/>
      <c r="AF32" s="8"/>
      <c r="AG32"/>
      <c r="AH32"/>
      <c r="AI32"/>
      <c r="AJ32"/>
    </row>
    <row r="33" spans="1:36" ht="12.75">
      <c r="A33" s="36">
        <f t="shared" si="13"/>
        <v>2</v>
      </c>
      <c r="B33" s="87">
        <f t="shared" si="14"/>
        <v>25.4892421875</v>
      </c>
      <c r="C33" s="87">
        <f t="shared" si="15"/>
        <v>25.4892421875</v>
      </c>
      <c r="D33" s="2">
        <f t="shared" si="23"/>
        <v>0.4707868484958268</v>
      </c>
      <c r="E33" s="2">
        <f t="shared" si="24"/>
        <v>0.4707868484958268</v>
      </c>
      <c r="F33" s="2">
        <f t="shared" si="25"/>
        <v>0.625</v>
      </c>
      <c r="G33" s="88">
        <f t="shared" si="16"/>
        <v>0.925</v>
      </c>
      <c r="H33" s="88">
        <f t="shared" si="17"/>
        <v>1</v>
      </c>
      <c r="I33" s="88">
        <f t="shared" si="18"/>
        <v>0.91</v>
      </c>
      <c r="J33" s="88">
        <f t="shared" si="19"/>
        <v>1</v>
      </c>
      <c r="K33" s="88">
        <f t="shared" si="26"/>
        <v>0.95</v>
      </c>
      <c r="L33"/>
      <c r="M33" t="str">
        <f t="shared" si="27"/>
        <v>Acceptable</v>
      </c>
      <c r="N33" s="136"/>
      <c r="O33"/>
      <c r="P33"/>
      <c r="Q33" s="69">
        <f t="shared" si="20"/>
        <v>0.95</v>
      </c>
      <c r="R33" s="2">
        <f t="shared" si="28"/>
        <v>0.625</v>
      </c>
      <c r="S33" s="69">
        <f t="shared" si="21"/>
        <v>0.925</v>
      </c>
      <c r="T33" s="69">
        <f t="shared" si="22"/>
        <v>1</v>
      </c>
      <c r="U33" s="69">
        <f t="shared" si="22"/>
        <v>1</v>
      </c>
      <c r="V33" s="70">
        <f t="shared" si="22"/>
        <v>0.91</v>
      </c>
      <c r="W33"/>
      <c r="X33"/>
      <c r="Y33"/>
      <c r="Z33"/>
      <c r="AA33"/>
      <c r="AC33" s="7"/>
      <c r="AD33" s="8"/>
      <c r="AE33" s="8"/>
      <c r="AF33" s="8"/>
      <c r="AG33"/>
      <c r="AH33"/>
      <c r="AI33"/>
      <c r="AJ33"/>
    </row>
    <row r="34" spans="1:36" ht="13.5" thickBot="1">
      <c r="A34" s="114">
        <f t="shared" si="13"/>
        <v>7</v>
      </c>
      <c r="B34" s="89">
        <f t="shared" si="14"/>
        <v>25.4892421875</v>
      </c>
      <c r="C34" s="89">
        <f t="shared" si="15"/>
        <v>25.4892421875</v>
      </c>
      <c r="D34" s="2">
        <f t="shared" si="23"/>
        <v>0.4707868484958268</v>
      </c>
      <c r="E34" s="2">
        <f t="shared" si="24"/>
        <v>0.4707868484958268</v>
      </c>
      <c r="F34" s="2">
        <f t="shared" si="25"/>
        <v>0.625</v>
      </c>
      <c r="G34" s="90">
        <f t="shared" si="16"/>
        <v>0.925</v>
      </c>
      <c r="H34" s="90">
        <f t="shared" si="17"/>
        <v>1</v>
      </c>
      <c r="I34" s="88">
        <f t="shared" si="18"/>
        <v>0.91</v>
      </c>
      <c r="J34" s="90">
        <f t="shared" si="19"/>
        <v>1</v>
      </c>
      <c r="K34" s="90">
        <f t="shared" si="26"/>
        <v>0.95</v>
      </c>
      <c r="L34"/>
      <c r="M34" t="str">
        <f t="shared" si="27"/>
        <v>Acceptable</v>
      </c>
      <c r="N34" s="135"/>
      <c r="O34"/>
      <c r="P34"/>
      <c r="Q34" s="69">
        <f t="shared" si="20"/>
        <v>0.95</v>
      </c>
      <c r="R34" s="2">
        <f t="shared" si="28"/>
        <v>0.625</v>
      </c>
      <c r="S34" s="69">
        <f t="shared" si="21"/>
        <v>0.925</v>
      </c>
      <c r="T34" s="69">
        <f t="shared" si="22"/>
        <v>1</v>
      </c>
      <c r="U34" s="69">
        <f t="shared" si="22"/>
        <v>1</v>
      </c>
      <c r="V34" s="70">
        <f t="shared" si="22"/>
        <v>0.91</v>
      </c>
      <c r="W34"/>
      <c r="X34"/>
      <c r="Y34"/>
      <c r="Z34"/>
      <c r="AA34"/>
      <c r="AC34" s="7"/>
      <c r="AD34" s="8"/>
      <c r="AE34" s="8"/>
      <c r="AF34" s="8"/>
      <c r="AG34"/>
      <c r="AH34"/>
      <c r="AI34"/>
      <c r="AJ34"/>
    </row>
    <row r="35" spans="1:36" ht="13.5" thickTop="1">
      <c r="A35" s="103"/>
      <c r="B35" s="104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C35" s="7"/>
      <c r="AD35" s="8"/>
      <c r="AE35" s="8"/>
      <c r="AF35" s="8"/>
      <c r="AG35"/>
      <c r="AH35"/>
      <c r="AI35"/>
      <c r="AJ35"/>
    </row>
    <row r="36" spans="1:36" ht="12.75">
      <c r="A36" s="12"/>
      <c r="B36" s="10"/>
      <c r="C36" s="10"/>
      <c r="D36" s="10"/>
      <c r="E36" s="10"/>
      <c r="F36"/>
      <c r="G36"/>
      <c r="H36" s="115" t="s">
        <v>59</v>
      </c>
      <c r="I36" s="26"/>
      <c r="J36" s="26"/>
      <c r="K36" s="26"/>
      <c r="L36" s="26"/>
      <c r="M36" s="26"/>
      <c r="N36" s="26"/>
      <c r="O36" s="26"/>
      <c r="P36" s="12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C36" s="7"/>
      <c r="AD36" s="8"/>
      <c r="AE36" s="8"/>
      <c r="AF36" s="8"/>
      <c r="AG36"/>
      <c r="AH36"/>
      <c r="AI36"/>
      <c r="AJ36"/>
    </row>
    <row r="37" spans="2:32" s="26" customFormat="1" ht="12">
      <c r="B37" s="22"/>
      <c r="E37" s="98" t="s">
        <v>45</v>
      </c>
      <c r="F37" s="116">
        <f>C12+SUM(AD13:AD21)</f>
        <v>1.780957969603338</v>
      </c>
      <c r="H37" s="22" t="s">
        <v>57</v>
      </c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5"/>
      <c r="AC37" s="5"/>
      <c r="AD37" s="68"/>
      <c r="AE37" s="68"/>
      <c r="AF37" s="68"/>
    </row>
    <row r="38" spans="6:32" s="26" customFormat="1" ht="12">
      <c r="F38" s="26" t="s">
        <v>0</v>
      </c>
      <c r="H38" s="22" t="s">
        <v>58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5"/>
      <c r="AC38" s="5"/>
      <c r="AD38" s="68"/>
      <c r="AE38" s="68"/>
      <c r="AF38" s="68"/>
    </row>
    <row r="39" spans="17:32" s="26" customFormat="1" ht="12"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5"/>
      <c r="AC39" s="5"/>
      <c r="AD39" s="68"/>
      <c r="AE39" s="68"/>
      <c r="AF39" s="68"/>
    </row>
    <row r="40" spans="1:32" s="26" customFormat="1" ht="12">
      <c r="A40" s="5"/>
      <c r="B40" s="5"/>
      <c r="C40" s="5"/>
      <c r="D40" s="5"/>
      <c r="E40" s="5"/>
      <c r="F40" s="5"/>
      <c r="G40" s="5"/>
      <c r="H40" s="5"/>
      <c r="K40" s="130" t="s">
        <v>0</v>
      </c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5"/>
      <c r="AC40" s="5"/>
      <c r="AD40" s="68"/>
      <c r="AE40" s="68"/>
      <c r="AF40" s="68"/>
    </row>
    <row r="41" spans="1:32" s="26" customFormat="1" ht="12">
      <c r="A41" s="66"/>
      <c r="B41" s="66" t="s">
        <v>46</v>
      </c>
      <c r="C41" s="66" t="s">
        <v>47</v>
      </c>
      <c r="D41" s="66" t="s">
        <v>47</v>
      </c>
      <c r="E41" s="66" t="s">
        <v>48</v>
      </c>
      <c r="F41" s="66" t="s">
        <v>48</v>
      </c>
      <c r="G41" s="66" t="s">
        <v>49</v>
      </c>
      <c r="H41" s="66" t="s">
        <v>49</v>
      </c>
      <c r="K41" s="26" t="s">
        <v>62</v>
      </c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5"/>
      <c r="AC41" s="5"/>
      <c r="AD41" s="68"/>
      <c r="AE41" s="68"/>
      <c r="AF41" s="68"/>
    </row>
    <row r="42" spans="1:32" s="26" customFormat="1" ht="12">
      <c r="A42" s="5"/>
      <c r="B42" s="66"/>
      <c r="C42" s="66"/>
      <c r="D42" s="66"/>
      <c r="E42" s="66"/>
      <c r="F42" s="66"/>
      <c r="G42" s="66"/>
      <c r="H42" s="66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5"/>
      <c r="AC42" s="5"/>
      <c r="AD42" s="68"/>
      <c r="AE42" s="68"/>
      <c r="AF42" s="68"/>
    </row>
    <row r="43" spans="1:32" s="26" customFormat="1" ht="12">
      <c r="A43" s="12"/>
      <c r="B43" s="72" t="s">
        <v>50</v>
      </c>
      <c r="C43" s="72" t="s">
        <v>51</v>
      </c>
      <c r="D43" s="72" t="s">
        <v>52</v>
      </c>
      <c r="E43" s="72" t="s">
        <v>51</v>
      </c>
      <c r="F43" s="72" t="s">
        <v>52</v>
      </c>
      <c r="G43" s="72" t="s">
        <v>51</v>
      </c>
      <c r="H43" s="72" t="s">
        <v>52</v>
      </c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5"/>
      <c r="AC43" s="5"/>
      <c r="AD43" s="68"/>
      <c r="AE43" s="68"/>
      <c r="AF43" s="68"/>
    </row>
    <row r="44" spans="1:32" s="26" customFormat="1" ht="12">
      <c r="A44" s="12"/>
      <c r="B44" s="72" t="s">
        <v>53</v>
      </c>
      <c r="C44" s="12" t="s">
        <v>0</v>
      </c>
      <c r="D44" s="12" t="s">
        <v>0</v>
      </c>
      <c r="E44" s="12" t="s">
        <v>0</v>
      </c>
      <c r="F44" s="12" t="s">
        <v>0</v>
      </c>
      <c r="G44" s="12" t="s">
        <v>0</v>
      </c>
      <c r="H44" s="12" t="s">
        <v>0</v>
      </c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5"/>
      <c r="AC44" s="5"/>
      <c r="AD44" s="68"/>
      <c r="AE44" s="68"/>
      <c r="AF44" s="68"/>
    </row>
    <row r="45" spans="1:32" s="26" customFormat="1" ht="12">
      <c r="A45" s="12"/>
      <c r="B45" s="72">
        <v>0.2</v>
      </c>
      <c r="C45" s="39">
        <v>0.85</v>
      </c>
      <c r="D45" s="39">
        <v>0.85</v>
      </c>
      <c r="E45" s="39">
        <v>0.95</v>
      </c>
      <c r="F45" s="39">
        <v>0.95</v>
      </c>
      <c r="G45" s="39">
        <v>1</v>
      </c>
      <c r="H45" s="39">
        <v>1</v>
      </c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5"/>
      <c r="AC45" s="5"/>
      <c r="AD45" s="68"/>
      <c r="AE45" s="68"/>
      <c r="AF45" s="68"/>
    </row>
    <row r="46" spans="1:32" s="26" customFormat="1" ht="12">
      <c r="A46" s="5"/>
      <c r="B46" s="66">
        <v>0.5</v>
      </c>
      <c r="C46" s="68">
        <v>0.81</v>
      </c>
      <c r="D46" s="68">
        <v>0.81</v>
      </c>
      <c r="E46" s="68">
        <v>0.92</v>
      </c>
      <c r="F46" s="68">
        <v>0.92</v>
      </c>
      <c r="G46" s="68">
        <v>0.97</v>
      </c>
      <c r="H46" s="68">
        <v>0.97</v>
      </c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5"/>
      <c r="AC46" s="5"/>
      <c r="AD46" s="68"/>
      <c r="AE46" s="68"/>
      <c r="AF46" s="68"/>
    </row>
    <row r="47" spans="1:32" s="26" customFormat="1" ht="12">
      <c r="A47" s="5"/>
      <c r="B47" s="66">
        <v>1</v>
      </c>
      <c r="C47" s="68">
        <v>0.75</v>
      </c>
      <c r="D47" s="68">
        <v>0.75</v>
      </c>
      <c r="E47" s="68">
        <v>0.88</v>
      </c>
      <c r="F47" s="68">
        <v>0.88</v>
      </c>
      <c r="G47" s="68">
        <v>0.94</v>
      </c>
      <c r="H47" s="68">
        <v>0.94</v>
      </c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5"/>
      <c r="AC47" s="5"/>
      <c r="AD47" s="68"/>
      <c r="AE47" s="68"/>
      <c r="AF47" s="68"/>
    </row>
    <row r="48" spans="1:32" s="26" customFormat="1" ht="12">
      <c r="A48" s="5"/>
      <c r="B48" s="66">
        <v>2</v>
      </c>
      <c r="C48" s="68">
        <v>0.65</v>
      </c>
      <c r="D48" s="68">
        <v>0.65</v>
      </c>
      <c r="E48" s="68">
        <v>0.84</v>
      </c>
      <c r="F48" s="68">
        <v>0.84</v>
      </c>
      <c r="G48" s="68">
        <v>0.91</v>
      </c>
      <c r="H48" s="68">
        <v>0.91</v>
      </c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5"/>
      <c r="AC48" s="5"/>
      <c r="AD48" s="68"/>
      <c r="AE48" s="68"/>
      <c r="AF48" s="68"/>
    </row>
    <row r="49" spans="1:32" s="26" customFormat="1" ht="12">
      <c r="A49" s="5"/>
      <c r="B49" s="66">
        <v>3</v>
      </c>
      <c r="C49" s="68">
        <v>0.55</v>
      </c>
      <c r="D49" s="68">
        <v>0.55</v>
      </c>
      <c r="E49" s="68">
        <v>0.79</v>
      </c>
      <c r="F49" s="68">
        <v>0.79</v>
      </c>
      <c r="G49" s="68">
        <v>0.88</v>
      </c>
      <c r="H49" s="68">
        <v>0.88</v>
      </c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5"/>
      <c r="AC49" s="5"/>
      <c r="AD49" s="68"/>
      <c r="AE49" s="68"/>
      <c r="AF49" s="68"/>
    </row>
    <row r="50" spans="1:32" s="26" customFormat="1" ht="12">
      <c r="A50" s="5"/>
      <c r="B50" s="66">
        <v>4</v>
      </c>
      <c r="C50" s="68">
        <v>0.45</v>
      </c>
      <c r="D50" s="68">
        <v>0.45</v>
      </c>
      <c r="E50" s="68">
        <v>0.72</v>
      </c>
      <c r="F50" s="68">
        <v>0.72</v>
      </c>
      <c r="G50" s="68">
        <v>0.84</v>
      </c>
      <c r="H50" s="68">
        <v>0.84</v>
      </c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5"/>
      <c r="AC50" s="5"/>
      <c r="AD50" s="68"/>
      <c r="AE50" s="68"/>
      <c r="AF50" s="68"/>
    </row>
    <row r="51" spans="1:32" s="26" customFormat="1" ht="12">
      <c r="A51" s="5"/>
      <c r="B51" s="66">
        <v>5</v>
      </c>
      <c r="C51" s="68">
        <v>0.35</v>
      </c>
      <c r="D51" s="68">
        <v>0.35</v>
      </c>
      <c r="E51" s="68">
        <v>0.6</v>
      </c>
      <c r="F51" s="68">
        <v>0.6</v>
      </c>
      <c r="G51" s="68">
        <v>0.8</v>
      </c>
      <c r="H51" s="68">
        <v>0.8</v>
      </c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5"/>
      <c r="AC51" s="5"/>
      <c r="AD51" s="68"/>
      <c r="AE51" s="68"/>
      <c r="AF51" s="68"/>
    </row>
    <row r="52" spans="1:32" s="26" customFormat="1" ht="12">
      <c r="A52" s="5"/>
      <c r="B52" s="66">
        <v>6</v>
      </c>
      <c r="C52" s="68">
        <v>0.27</v>
      </c>
      <c r="D52" s="68">
        <v>0.27</v>
      </c>
      <c r="E52" s="68">
        <v>0.5</v>
      </c>
      <c r="F52" s="68">
        <v>0.5</v>
      </c>
      <c r="G52" s="68">
        <v>0.75</v>
      </c>
      <c r="H52" s="68">
        <v>0.75</v>
      </c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5"/>
      <c r="AC52" s="5"/>
      <c r="AD52" s="68"/>
      <c r="AE52" s="68"/>
      <c r="AF52" s="68"/>
    </row>
    <row r="53" spans="1:32" s="26" customFormat="1" ht="12">
      <c r="A53" s="5"/>
      <c r="B53" s="66">
        <v>7</v>
      </c>
      <c r="C53" s="68">
        <v>0.22</v>
      </c>
      <c r="D53" s="68">
        <v>0.22</v>
      </c>
      <c r="E53" s="68">
        <v>0.42</v>
      </c>
      <c r="F53" s="68">
        <v>0.42</v>
      </c>
      <c r="G53" s="68">
        <v>0.7</v>
      </c>
      <c r="H53" s="68">
        <v>0.7</v>
      </c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5"/>
      <c r="AC53" s="5"/>
      <c r="AD53" s="68"/>
      <c r="AE53" s="68"/>
      <c r="AF53" s="68"/>
    </row>
    <row r="54" spans="1:32" s="26" customFormat="1" ht="12">
      <c r="A54" s="5"/>
      <c r="B54" s="66">
        <v>8</v>
      </c>
      <c r="C54" s="68">
        <v>0.18</v>
      </c>
      <c r="D54" s="68">
        <v>0.18</v>
      </c>
      <c r="E54" s="68">
        <v>0.35</v>
      </c>
      <c r="F54" s="68">
        <v>0.35</v>
      </c>
      <c r="G54" s="68">
        <v>0.6</v>
      </c>
      <c r="H54" s="68">
        <v>0.6</v>
      </c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5"/>
      <c r="AC54" s="5"/>
      <c r="AD54" s="68"/>
      <c r="AE54" s="68"/>
      <c r="AF54" s="68"/>
    </row>
    <row r="55" spans="1:32" s="26" customFormat="1" ht="12">
      <c r="A55" s="5"/>
      <c r="B55" s="66">
        <v>9</v>
      </c>
      <c r="C55" s="68">
        <v>0</v>
      </c>
      <c r="D55" s="68">
        <v>0.15</v>
      </c>
      <c r="E55" s="68">
        <v>0.3</v>
      </c>
      <c r="F55" s="68">
        <v>0.3</v>
      </c>
      <c r="G55" s="68">
        <v>0.52</v>
      </c>
      <c r="H55" s="68">
        <v>0.52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5"/>
      <c r="AC55" s="5"/>
      <c r="AD55" s="68"/>
      <c r="AE55" s="68"/>
      <c r="AF55" s="68"/>
    </row>
    <row r="56" spans="1:32" s="26" customFormat="1" ht="12">
      <c r="A56" s="5"/>
      <c r="B56" s="66">
        <v>10</v>
      </c>
      <c r="C56" s="68">
        <v>0</v>
      </c>
      <c r="D56" s="68">
        <v>0.13</v>
      </c>
      <c r="E56" s="68">
        <v>0.26</v>
      </c>
      <c r="F56" s="68">
        <v>0.26</v>
      </c>
      <c r="G56" s="68">
        <v>0.45</v>
      </c>
      <c r="H56" s="68">
        <v>0.45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5"/>
      <c r="AC56" s="5"/>
      <c r="AD56" s="68"/>
      <c r="AE56" s="68"/>
      <c r="AF56" s="68"/>
    </row>
    <row r="57" spans="1:32" s="26" customFormat="1" ht="12">
      <c r="A57" s="5"/>
      <c r="B57" s="66">
        <v>11</v>
      </c>
      <c r="C57" s="68">
        <v>0</v>
      </c>
      <c r="D57" s="68">
        <v>0</v>
      </c>
      <c r="E57" s="68">
        <v>0</v>
      </c>
      <c r="F57" s="68">
        <v>0.23</v>
      </c>
      <c r="G57" s="68">
        <v>0.41</v>
      </c>
      <c r="H57" s="68">
        <v>0.41</v>
      </c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5"/>
      <c r="AC57" s="5"/>
      <c r="AD57" s="68"/>
      <c r="AE57" s="68"/>
      <c r="AF57" s="68"/>
    </row>
    <row r="58" spans="1:32" s="26" customFormat="1" ht="12">
      <c r="A58" s="5"/>
      <c r="B58" s="66">
        <v>12</v>
      </c>
      <c r="C58" s="68">
        <v>0</v>
      </c>
      <c r="D58" s="68">
        <v>0</v>
      </c>
      <c r="E58" s="68">
        <v>0</v>
      </c>
      <c r="F58" s="68">
        <v>0.21</v>
      </c>
      <c r="G58" s="68">
        <v>0.37</v>
      </c>
      <c r="H58" s="68">
        <v>0.37</v>
      </c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5"/>
      <c r="AC58" s="5"/>
      <c r="AD58" s="68"/>
      <c r="AE58" s="68"/>
      <c r="AF58" s="68"/>
    </row>
    <row r="59" spans="1:32" s="26" customFormat="1" ht="12">
      <c r="A59" s="5"/>
      <c r="B59" s="66">
        <v>13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0.34</v>
      </c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5"/>
      <c r="AC59" s="5"/>
      <c r="AD59" s="68"/>
      <c r="AE59" s="68"/>
      <c r="AF59" s="68"/>
    </row>
    <row r="60" spans="1:32" s="26" customFormat="1" ht="12">
      <c r="A60" s="5"/>
      <c r="B60" s="66">
        <v>14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0.31</v>
      </c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5"/>
      <c r="AC60" s="5"/>
      <c r="AD60" s="68"/>
      <c r="AE60" s="68"/>
      <c r="AF60" s="68"/>
    </row>
    <row r="61" spans="1:32" s="26" customFormat="1" ht="12">
      <c r="A61" s="5"/>
      <c r="B61" s="66">
        <v>15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0.28</v>
      </c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5"/>
      <c r="AC61" s="5"/>
      <c r="AD61" s="68"/>
      <c r="AE61" s="68"/>
      <c r="AF61" s="68"/>
    </row>
    <row r="62" spans="1:32" s="26" customFormat="1" ht="12">
      <c r="A62" s="5"/>
      <c r="B62" s="66">
        <v>16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5"/>
      <c r="AC62" s="5"/>
      <c r="AD62" s="68"/>
      <c r="AE62" s="68"/>
      <c r="AF62" s="68"/>
    </row>
    <row r="63" spans="1:32" s="26" customFormat="1" ht="12">
      <c r="A63" s="5"/>
      <c r="B63" s="66"/>
      <c r="C63" s="5"/>
      <c r="D63" s="5"/>
      <c r="E63" s="5"/>
      <c r="F63" s="5"/>
      <c r="G63" s="5"/>
      <c r="H63" s="5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5"/>
      <c r="AC63" s="5"/>
      <c r="AD63" s="68"/>
      <c r="AE63" s="68"/>
      <c r="AF63" s="68"/>
    </row>
    <row r="64" spans="1:32" s="26" customFormat="1" ht="12">
      <c r="A64" s="5"/>
      <c r="B64" s="66" t="s">
        <v>54</v>
      </c>
      <c r="C64" s="66" t="s">
        <v>51</v>
      </c>
      <c r="D64" s="66" t="s">
        <v>52</v>
      </c>
      <c r="E64" s="66"/>
      <c r="F64" s="66"/>
      <c r="G64" s="5"/>
      <c r="H64" s="5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5"/>
      <c r="AC64" s="5"/>
      <c r="AD64" s="68"/>
      <c r="AE64" s="68"/>
      <c r="AF64" s="68"/>
    </row>
    <row r="65" spans="1:32" s="26" customFormat="1" ht="12">
      <c r="A65" s="5"/>
      <c r="B65" s="66" t="s">
        <v>42</v>
      </c>
      <c r="C65" s="68">
        <v>0.95</v>
      </c>
      <c r="D65" s="68">
        <v>1</v>
      </c>
      <c r="E65" s="5"/>
      <c r="F65" s="5"/>
      <c r="G65" s="5"/>
      <c r="H65" s="5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5"/>
      <c r="AC65" s="5"/>
      <c r="AD65" s="68"/>
      <c r="AE65" s="68"/>
      <c r="AF65" s="68"/>
    </row>
    <row r="66" spans="1:32" s="26" customFormat="1" ht="12">
      <c r="A66" s="5"/>
      <c r="B66" s="66" t="s">
        <v>55</v>
      </c>
      <c r="C66" s="68">
        <v>1</v>
      </c>
      <c r="D66" s="68">
        <v>1</v>
      </c>
      <c r="E66" s="5"/>
      <c r="F66" s="5"/>
      <c r="G66" s="5"/>
      <c r="H66" s="5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5"/>
      <c r="AC66" s="5"/>
      <c r="AD66" s="68"/>
      <c r="AE66" s="68"/>
      <c r="AF66" s="68"/>
    </row>
    <row r="67" spans="1:32" s="26" customFormat="1" ht="12">
      <c r="A67" s="5"/>
      <c r="B67" s="66" t="s">
        <v>56</v>
      </c>
      <c r="C67" s="68">
        <v>0.9</v>
      </c>
      <c r="D67" s="68">
        <v>0.9</v>
      </c>
      <c r="E67" s="5"/>
      <c r="F67" s="5"/>
      <c r="G67" s="5"/>
      <c r="H67" s="5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5"/>
      <c r="AC67" s="5"/>
      <c r="AD67" s="68"/>
      <c r="AE67" s="68"/>
      <c r="AF67" s="68"/>
    </row>
    <row r="68" spans="17:32" s="26" customFormat="1" ht="12"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5"/>
      <c r="AC68" s="5"/>
      <c r="AD68" s="68"/>
      <c r="AE68" s="68"/>
      <c r="AF68" s="68"/>
    </row>
    <row r="69" spans="17:32" s="26" customFormat="1" ht="12"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5"/>
      <c r="AC69" s="5"/>
      <c r="AD69" s="68"/>
      <c r="AE69" s="68"/>
      <c r="AF69" s="68"/>
    </row>
    <row r="70" spans="17:32" s="26" customFormat="1" ht="12"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5"/>
      <c r="AC70" s="5"/>
      <c r="AD70" s="68"/>
      <c r="AE70" s="68"/>
      <c r="AF70" s="68"/>
    </row>
    <row r="71" spans="17:32" s="26" customFormat="1" ht="12"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5"/>
      <c r="AC71" s="5"/>
      <c r="AD71" s="68"/>
      <c r="AE71" s="68"/>
      <c r="AF71" s="68"/>
    </row>
    <row r="72" spans="17:32" s="26" customFormat="1" ht="12"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5"/>
      <c r="AC72" s="5"/>
      <c r="AD72" s="68"/>
      <c r="AE72" s="68"/>
      <c r="AF72" s="68"/>
    </row>
    <row r="73" spans="17:32" s="26" customFormat="1" ht="12"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5"/>
      <c r="AC73" s="5"/>
      <c r="AD73" s="68"/>
      <c r="AE73" s="68"/>
      <c r="AF73" s="68"/>
    </row>
    <row r="74" spans="17:32" s="26" customFormat="1" ht="12"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5"/>
      <c r="AC74" s="5"/>
      <c r="AD74" s="68"/>
      <c r="AE74" s="68"/>
      <c r="AF74" s="68"/>
    </row>
    <row r="75" spans="17:32" s="26" customFormat="1" ht="12"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5"/>
      <c r="AC75" s="5"/>
      <c r="AD75" s="68"/>
      <c r="AE75" s="68"/>
      <c r="AF75" s="68"/>
    </row>
    <row r="76" spans="17:32" s="26" customFormat="1" ht="12"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5"/>
      <c r="AC76" s="5"/>
      <c r="AD76" s="68"/>
      <c r="AE76" s="68"/>
      <c r="AF76" s="68"/>
    </row>
    <row r="77" spans="17:32" s="26" customFormat="1" ht="12"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5"/>
      <c r="AC77" s="5"/>
      <c r="AD77" s="68"/>
      <c r="AE77" s="68"/>
      <c r="AF77" s="68"/>
    </row>
    <row r="78" spans="17:32" s="26" customFormat="1" ht="12"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5"/>
      <c r="AC78" s="5"/>
      <c r="AD78" s="68"/>
      <c r="AE78" s="68"/>
      <c r="AF78" s="68"/>
    </row>
    <row r="79" spans="17:32" s="26" customFormat="1" ht="12"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5"/>
      <c r="AC79" s="5"/>
      <c r="AD79" s="68"/>
      <c r="AE79" s="68"/>
      <c r="AF79" s="68"/>
    </row>
    <row r="80" spans="17:32" s="26" customFormat="1" ht="12"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5"/>
      <c r="AC80" s="5"/>
      <c r="AD80" s="68"/>
      <c r="AE80" s="68"/>
      <c r="AF80" s="68"/>
    </row>
    <row r="81" spans="17:32" s="26" customFormat="1" ht="12"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5"/>
      <c r="AC81" s="5"/>
      <c r="AD81" s="68"/>
      <c r="AE81" s="68"/>
      <c r="AF81" s="68"/>
    </row>
    <row r="82" spans="17:32" s="26" customFormat="1" ht="12"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5"/>
      <c r="AC82" s="5"/>
      <c r="AD82" s="68"/>
      <c r="AE82" s="68"/>
      <c r="AF82" s="68"/>
    </row>
    <row r="83" spans="17:32" s="26" customFormat="1" ht="12"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5"/>
      <c r="AC83" s="5"/>
      <c r="AD83" s="68"/>
      <c r="AE83" s="68"/>
      <c r="AF83" s="68"/>
    </row>
    <row r="84" spans="17:32" s="26" customFormat="1" ht="12"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5"/>
      <c r="AC84" s="5"/>
      <c r="AD84" s="68"/>
      <c r="AE84" s="68"/>
      <c r="AF84" s="68"/>
    </row>
    <row r="85" spans="17:32" s="26" customFormat="1" ht="12"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5"/>
      <c r="AC85" s="5"/>
      <c r="AD85" s="68"/>
      <c r="AE85" s="68"/>
      <c r="AF85" s="68"/>
    </row>
    <row r="86" spans="17:32" s="26" customFormat="1" ht="12"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5"/>
      <c r="AC86" s="5"/>
      <c r="AD86" s="68"/>
      <c r="AE86" s="68"/>
      <c r="AF86" s="68"/>
    </row>
    <row r="87" spans="17:32" s="26" customFormat="1" ht="12"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5"/>
      <c r="AC87" s="5"/>
      <c r="AD87" s="68"/>
      <c r="AE87" s="68"/>
      <c r="AF87" s="68"/>
    </row>
  </sheetData>
  <sheetProtection/>
  <printOptions horizontalCentered="1" verticalCentered="1"/>
  <pageMargins left="0.2" right="0.2" top="0.2" bottom="0.2" header="0.5" footer="0.5"/>
  <pageSetup orientation="portrait" r:id="rId1"/>
  <headerFooter alignWithMargins="0">
    <oddFooter>&amp;LGary Herrin
Chuck Woolley
Univ of Michigan&amp;Cgdherrin@umich.edu
cwoolley@engin.umich.edu 
(313)763-2243  &amp;RVersion 3.0 (7/99)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Herrin</dc:creator>
  <cp:keywords/>
  <dc:description/>
  <cp:lastModifiedBy>sili</cp:lastModifiedBy>
  <cp:lastPrinted>1999-09-12T12:13:53Z</cp:lastPrinted>
  <dcterms:created xsi:type="dcterms:W3CDTF">1998-01-16T13:04:12Z</dcterms:created>
  <dcterms:modified xsi:type="dcterms:W3CDTF">2018-08-10T07:55:18Z</dcterms:modified>
  <cp:category/>
  <cp:version/>
  <cp:contentType/>
  <cp:contentStatus/>
</cp:coreProperties>
</file>